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65" yWindow="65386" windowWidth="7860" windowHeight="8925" tabRatio="643" activeTab="0"/>
  </bookViews>
  <sheets>
    <sheet name="User's Guide" sheetId="1" r:id="rId1"/>
    <sheet name="Activity Description" sheetId="2" r:id="rId2"/>
    <sheet name="ERR &amp; Sensitivity Analysis" sheetId="3" r:id="rId3"/>
    <sheet name="Cost Benefit Analysis" sheetId="4" r:id="rId4"/>
    <sheet name="Assumptions" sheetId="5" r:id="rId5"/>
    <sheet name="Projects" sheetId="6" r:id="rId6"/>
    <sheet name="Demand" sheetId="7" r:id="rId7"/>
    <sheet name="Income Creation" sheetId="8" r:id="rId8"/>
  </sheets>
  <externalReferences>
    <externalReference r:id="rId11"/>
  </externalReferences>
  <definedNames>
    <definedName name="CBWorkbookPriority" hidden="1">-171253745</definedName>
    <definedName name="Cost">'[1]Cost Assumptions'!$C$22:$E$22</definedName>
    <definedName name="Inv06">'[1]Cost Assumptions'!$H$32</definedName>
    <definedName name="Inv07">'[1]Cost Assumptions'!$I$32</definedName>
    <definedName name="Maint08">'[1]Cost Assumptions'!$G$40:$N$40</definedName>
    <definedName name="_xlnm.Print_Area" localSheetId="3">'Cost Benefit Analysis'!$A$1:$X$42</definedName>
    <definedName name="_xlnm.Print_Area" localSheetId="5">'Projects'!$A$1:$H$47</definedName>
  </definedNames>
  <calcPr fullCalcOnLoad="1"/>
</workbook>
</file>

<file path=xl/sharedStrings.xml><?xml version="1.0" encoding="utf-8"?>
<sst xmlns="http://schemas.openxmlformats.org/spreadsheetml/2006/main" count="221" uniqueCount="164">
  <si>
    <t xml:space="preserve"> </t>
  </si>
  <si>
    <t>Northern Districts</t>
  </si>
  <si>
    <t>Savelugu Naton</t>
  </si>
  <si>
    <t>Tolon Kumbungu</t>
  </si>
  <si>
    <t>Tamale</t>
  </si>
  <si>
    <t>Karaga</t>
  </si>
  <si>
    <t>West Mamprusi</t>
  </si>
  <si>
    <t>Afram Basin</t>
  </si>
  <si>
    <t>Ejura Sekyedumasi</t>
  </si>
  <si>
    <t>Kwahu South</t>
  </si>
  <si>
    <t>Fantealwa</t>
  </si>
  <si>
    <t>Afram Plains</t>
  </si>
  <si>
    <t>Sekyere West</t>
  </si>
  <si>
    <t>Sekyere East</t>
  </si>
  <si>
    <t>Southern Horticulture District</t>
  </si>
  <si>
    <t>Gomoa East</t>
  </si>
  <si>
    <t>Awutu Efutu Senya</t>
  </si>
  <si>
    <t>Akuapim South</t>
  </si>
  <si>
    <t>Ddangme West</t>
  </si>
  <si>
    <t>North Dayi</t>
  </si>
  <si>
    <t>Hohoe</t>
  </si>
  <si>
    <t>Ketu</t>
  </si>
  <si>
    <t>Keta</t>
  </si>
  <si>
    <t>South Tongu</t>
  </si>
  <si>
    <t>Akatsi</t>
  </si>
  <si>
    <t>Baseline</t>
  </si>
  <si>
    <t>Benefits</t>
  </si>
  <si>
    <t>Costs</t>
  </si>
  <si>
    <t>Project Costs</t>
  </si>
  <si>
    <t>Total Costs</t>
  </si>
  <si>
    <t>With Project</t>
  </si>
  <si>
    <t>Net Benefits</t>
  </si>
  <si>
    <t>Net Project Benefits</t>
  </si>
  <si>
    <t>Economic Rate of Return</t>
  </si>
  <si>
    <t>(number)</t>
  </si>
  <si>
    <t>Externalities</t>
  </si>
  <si>
    <t>per meter installed</t>
  </si>
  <si>
    <t xml:space="preserve">1  Assumed to be </t>
  </si>
  <si>
    <t>meters</t>
  </si>
  <si>
    <t xml:space="preserve">2 Pipe cost assumed to be </t>
  </si>
  <si>
    <t>3 Exchange rate for converting to cedi</t>
  </si>
  <si>
    <t>Total</t>
  </si>
  <si>
    <t>cedi to US$</t>
  </si>
  <si>
    <t>Total Number of Household within Project</t>
  </si>
  <si>
    <t>Households</t>
  </si>
  <si>
    <t>Reinforcement</t>
  </si>
  <si>
    <t>Expanded</t>
  </si>
  <si>
    <t>Base</t>
  </si>
  <si>
    <t>Expansion</t>
  </si>
  <si>
    <t>Project Cost</t>
  </si>
  <si>
    <t xml:space="preserve">First </t>
  </si>
  <si>
    <t>Year</t>
  </si>
  <si>
    <t>Tenth</t>
  </si>
  <si>
    <t>Annual</t>
  </si>
  <si>
    <t xml:space="preserve"> 0-50 kWh</t>
  </si>
  <si>
    <t xml:space="preserve"> 51-300 kWh</t>
  </si>
  <si>
    <t xml:space="preserve"> 300 +</t>
  </si>
  <si>
    <t>(Per Household)</t>
  </si>
  <si>
    <t xml:space="preserve"> 0-50 kWh (flat fee with subsidy)</t>
  </si>
  <si>
    <t>Growth</t>
  </si>
  <si>
    <t>Growth in Households</t>
  </si>
  <si>
    <t>Electricification Penetration Rate</t>
  </si>
  <si>
    <t>(Year)</t>
  </si>
  <si>
    <t>Households Electricified</t>
  </si>
  <si>
    <t>Number of Households</t>
  </si>
  <si>
    <t>Annual Consumption Per Household (kWh)</t>
  </si>
  <si>
    <t>Annual Cost Per Household (million cedi)</t>
  </si>
  <si>
    <t>Average Income Per Household</t>
  </si>
  <si>
    <t>Total Income (million cedi)</t>
  </si>
  <si>
    <t xml:space="preserve"> 51-300 kWh (with first 50 kWh price at flat rate)</t>
  </si>
  <si>
    <t xml:space="preserve"> 300 + (with both 50 and 300 kWh blocks priced accordingly)</t>
  </si>
  <si>
    <t>Household Income</t>
  </si>
  <si>
    <t xml:space="preserve">     on several pilot rural electricifation projects.</t>
  </si>
  <si>
    <t>(US$)</t>
  </si>
  <si>
    <t>For economic reasons, the overall cost of electricity is reduced to the generation and transmission component as it is assumed the distribution cost will be captured by the Project Cost.</t>
  </si>
  <si>
    <t>Baseline costs are taken from Impact of the Lifeline Electricity Tariff on the Poor, National Development Planning Commission, August 2005.  Baseline costs are cost of kerosene, firewood and candles that electricity replaces.</t>
  </si>
  <si>
    <t>Last updated:  6/22/2006</t>
  </si>
  <si>
    <t>Electrification</t>
  </si>
  <si>
    <t>Date</t>
  </si>
  <si>
    <t>Amount of MCC funds</t>
  </si>
  <si>
    <t xml:space="preserve">The Community Services Activity is designed to complement the Agriculture Project by providing educational, water and sanitation and rural electrification infrastructure in the Intervention Zones and by enhancing the capacity of local governments to deliver the related services.  Specific sub-projects and locations will be identified during Compact implementation. </t>
  </si>
  <si>
    <t>Benefit streams included in ERR</t>
  </si>
  <si>
    <t>Estimated ERR and time horizon</t>
  </si>
  <si>
    <t>Activity Description</t>
  </si>
  <si>
    <t>One should read this sheet first, as it offers a summary of the activity, a list of components, and states the economic rationale for the project.</t>
  </si>
  <si>
    <t>Summary</t>
  </si>
  <si>
    <t>Projects</t>
  </si>
  <si>
    <t>Assumptions</t>
  </si>
  <si>
    <t>Cost Benefit Analysis</t>
  </si>
  <si>
    <t>The Community Services Activity is designed to complement the Agriculture Project by providing educational, water and sanitation and rural electrification infrastructure in the Intervention Zones and by enhancing the capacity of local governments to deliver the related services. These interventions are part of a larger effort by the Government to expand the provision of basic community services throughout Ghana, and are specifically expected to enhance the sustainability of the Agriculture Project by providing the necessary infrastructure to improve health of communities, to enhance skill development through access to education, and to facilitate small-scale post-harvest processing of agricultural products. Availability of funding to the districts in the Intervention Zones will be a function of population, relative poverty and actual investment performance under the Agriculture Project. Specific investments will be driven by the demands of local communities, prioritized through a broad-based, inclusive process to enhance community ownership and strengthen sustainability.</t>
  </si>
  <si>
    <t>Specifically, the Electrification sub-activity will provide funding for the expansion of rural electrification to unserved and underserved areas for domestic uses as well as for use in irrigation, agricultural processing and education. MCC funding will be used for both on-grid and off-grid (including photovoltaic, biofuel and micro-hydro) rural electricity investments, assuming the investments meet the following conditions:</t>
  </si>
  <si>
    <t xml:space="preserve">     1.  Consistency with the norms, standards, policies and strategic plans of the Ministry of Energy, the Electric Corporation of Ghana, and the 
           Volta River Authority.</t>
  </si>
  <si>
    <t xml:space="preserve">     2.  Community commitment to the construction through contributions of cash or other property (including land or raw material) or labor.</t>
  </si>
  <si>
    <r>
      <t xml:space="preserve">     3.  Adequate provision for operating costs (including staffing, as well as the operation and maintenance, of the facilities) and cost recovery 
           mechanisms adopted by MiDA (Millennium Development Authority)</t>
    </r>
    <r>
      <rPr>
        <vertAlign val="superscript"/>
        <sz val="8"/>
        <rFont val="Arial"/>
        <family val="2"/>
      </rPr>
      <t>1</t>
    </r>
    <r>
      <rPr>
        <sz val="10"/>
        <rFont val="Arial"/>
        <family val="2"/>
      </rPr>
      <t xml:space="preserve"> with approval of MCC.</t>
    </r>
  </si>
  <si>
    <t xml:space="preserve">     4.  Location within a district in which the Agriculture Project is being implemented.</t>
  </si>
  <si>
    <t xml:space="preserve">     5.  Meeting criteria satisfying cost effectiveness.</t>
  </si>
  <si>
    <t xml:space="preserve">     6.  Not creating any adverse environmental or social impact under the standards adopted by MiDA with the approval of MCC.</t>
  </si>
  <si>
    <t>Economic Rationale</t>
  </si>
  <si>
    <r>
      <t>1</t>
    </r>
    <r>
      <rPr>
        <sz val="10"/>
        <rFont val="Arial"/>
        <family val="2"/>
      </rPr>
      <t xml:space="preserve">  Through an act of its Parliament, the Government of Ghana (GoG) created the Millennium Development Authority (MiDA), a public corporation 
    that will serve as the accountable entity for the implementation of the Program under the Compact. MiDA will be governed by an independent 
    board of directors consisting of six representatives of key ministries of the GoG, two representatives of the private sector, and one representative 
    from the non-governmental organization (NGO) community. A chief executive officer will manage the day-to-day activities of MiDA, supported by 
    key officers in the areas of operations, agriculture, infrastructure, procurement, financial services, land administration, and administration and 
    finance.</t>
    </r>
  </si>
  <si>
    <r>
      <t xml:space="preserve">Costs </t>
    </r>
    <r>
      <rPr>
        <b/>
        <vertAlign val="superscript"/>
        <sz val="10"/>
        <rFont val="Arial"/>
        <family val="2"/>
      </rPr>
      <t>1</t>
    </r>
  </si>
  <si>
    <r>
      <t xml:space="preserve">Cost of Electricity </t>
    </r>
    <r>
      <rPr>
        <vertAlign val="superscript"/>
        <sz val="10"/>
        <rFont val="Arial"/>
        <family val="2"/>
      </rPr>
      <t>2</t>
    </r>
  </si>
  <si>
    <t xml:space="preserve">     At the consumer level, the benefits of electricity are slow to evolve. This analysis approximates no real tangible benefits to income for the first year or two. For a low income household, this represents a large cost to the family budget with no immediate return. Thus, there is some resistance in poorer communities to the adoption of such an expensive good with no immediate benefits.</t>
  </si>
  <si>
    <t xml:space="preserve">     However, the real impediment to rural electrification is not economic but financial and lies with the supplier rather than the community. For the supplier, there are many reasons not to provide rural electrification. First, the capital cost of expansion requires large amounts of capital outlays from what most likely is a company already suffering from losses in current supply. Second, rural electrification represents large investments for very little gains in revenue. The amounts consumed are small on a household basis and compounding this is the first block, where the utility is selling the electricity below the cost of service. Third, once service is set up, collections become a problem. In Ghana, collections are 84% of an average price where on average most of the electricity being supplied is at a loss. Fourth, losses in the transmission line increase as the line gets extended. Fifth, theft is a common problem within the Ghana system - losses are approaching 20%. Finally, the Electric Company of Ghana already has rolling blackouts and load shedding. Thus, increasing the grid merely compounds the problem of supply shortage.</t>
  </si>
  <si>
    <t>Demand</t>
  </si>
  <si>
    <t>Income Creation</t>
  </si>
  <si>
    <t xml:space="preserve">     The assessment of electrification attempted to gauge possible increases in productivity based on trends in consumption demand related to rates of growth in income. The analysis considered that average incomes for those paying the lowest subsidized tariff bracket (0-50 kWh/month) will increase at an annual rate of approximately 2.2% per year. For consumers paying in the middle block (51-300 kWh/month) who will be most impacted by the introduction of electricity, incomes are expected to increase by an annual rate of 4.1% per year. Finally, the highest block will increase by 2.6% per year.</t>
  </si>
  <si>
    <t xml:space="preserve">     In Ghana, some data exist that measured the before-and-after effects of rural electrification. In the period 1997- 2001, several such projects were implemented throughout Ghana, and statistics were collected by the Department of Power within the Ministry of Energy concerning key variables, such as penetration rates over time, incomes, and consumption patterns. For the purposes of this study, it was decided to utilize this cause-and-effect data in lieu of standard proxies estimating consumer benefits.</t>
  </si>
  <si>
    <t>ERR &amp; Sensitivity Analysis</t>
  </si>
  <si>
    <t>ERR and sensitivity analysis</t>
  </si>
  <si>
    <t>Description of key parameters</t>
  </si>
  <si>
    <t>Parameter values</t>
  </si>
  <si>
    <t>Values used in ERR computation</t>
  </si>
  <si>
    <t>Economic rate of return (ERR):</t>
  </si>
  <si>
    <t>Parameter type</t>
  </si>
  <si>
    <t>User Input</t>
  </si>
  <si>
    <t>MCC Estimate</t>
  </si>
  <si>
    <t>Plausible Range</t>
  </si>
  <si>
    <t>Actual costs as a percentage of estimated costs</t>
  </si>
  <si>
    <t>80 - 120%</t>
  </si>
  <si>
    <t>Actual benefits as a percentage of estimated benefits</t>
  </si>
  <si>
    <t>All summary parameters set to initial values?</t>
  </si>
  <si>
    <t xml:space="preserve">   More Info</t>
  </si>
  <si>
    <t>Cost Scenario</t>
  </si>
  <si>
    <t>Benefit Scenario</t>
  </si>
  <si>
    <t>MCC Estimated ERR (as of 6/22/2006):</t>
  </si>
  <si>
    <r>
      <t>Change the "</t>
    </r>
    <r>
      <rPr>
        <sz val="10"/>
        <color indexed="12"/>
        <rFont val="Arial"/>
        <family val="2"/>
      </rPr>
      <t>User Input</t>
    </r>
    <r>
      <rPr>
        <sz val="10"/>
        <rFont val="Arial"/>
        <family val="2"/>
      </rPr>
      <t>" cells in the table below to see the effect on the compact's Economic Rate of Return (ERR) and net benefits (see chart below).  To reset all values to the default MCC estimates, click the "</t>
    </r>
    <r>
      <rPr>
        <sz val="10"/>
        <color indexed="12"/>
        <rFont val="Arial"/>
        <family val="2"/>
      </rPr>
      <t>Reset Parameters</t>
    </r>
    <r>
      <rPr>
        <sz val="10"/>
        <rFont val="Arial"/>
        <family val="2"/>
      </rPr>
      <t>" button at right.  Be sure to reset all summary parameters to their original values ("MCC Estimate" values) before changing specific parameters.</t>
    </r>
  </si>
  <si>
    <r>
      <t xml:space="preserve">   </t>
    </r>
    <r>
      <rPr>
        <u val="single"/>
        <sz val="10"/>
        <color indexed="12"/>
        <rFont val="Arial"/>
        <family val="2"/>
      </rPr>
      <t>Activity Description</t>
    </r>
  </si>
  <si>
    <r>
      <t xml:space="preserve">   </t>
    </r>
    <r>
      <rPr>
        <u val="single"/>
        <sz val="10"/>
        <color indexed="12"/>
        <rFont val="Arial"/>
        <family val="2"/>
      </rPr>
      <t>User's Guide</t>
    </r>
  </si>
  <si>
    <t xml:space="preserve">     The approach taken is to build the model around the households. The variables include the household consumption profile, the average consumption given the tariff block the household is included within, average income given the tariff block, electricity prices per block, penetration rates at the beginning and end of project, and the annual growth in households within the project area. Under normal circumstances certain assumptions based on proxies would be used to project out the demand and income. The existence of such data in any form – however crude – is a rare find as rural electricity projects are not very popular in practical application. For example, based on the survey data within areas,
we were able to approximately project the penetration rates over time, the household incomes prior to and after the project was implemented, and electricity consumption. Therefore, the availability and utilization allows much more accurate projection of benefits than the standard current approach of proxies of consumer surplus.</t>
  </si>
  <si>
    <t>Ghana: Rural Services Development Project</t>
  </si>
  <si>
    <t>Electrification Cost Benefit Analysis</t>
  </si>
  <si>
    <t>Income Profile</t>
  </si>
  <si>
    <r>
      <t>1, 3</t>
    </r>
    <r>
      <rPr>
        <sz val="8"/>
        <rFont val="Arial"/>
        <family val="2"/>
      </rPr>
      <t xml:space="preserve"> The source of this data is unpublished information from the Ministry of Energy, Department of Power,  based </t>
    </r>
  </si>
  <si>
    <r>
      <t xml:space="preserve">2 </t>
    </r>
    <r>
      <rPr>
        <sz val="8"/>
        <rFont val="Arial"/>
        <family val="2"/>
      </rPr>
      <t xml:space="preserve"> Based on the most recent ECG tariff application with the PURC</t>
    </r>
  </si>
  <si>
    <r>
      <t>4</t>
    </r>
    <r>
      <rPr>
        <sz val="8"/>
        <rFont val="Arial"/>
        <family val="2"/>
      </rPr>
      <t xml:space="preserve">  EOG tariff sheet for April 2006</t>
    </r>
  </si>
  <si>
    <r>
      <t>1</t>
    </r>
    <r>
      <rPr>
        <sz val="8"/>
        <rFont val="Arial"/>
        <family val="2"/>
      </rPr>
      <t xml:space="preserve">  No data available</t>
    </r>
  </si>
  <si>
    <r>
      <t xml:space="preserve">Electricity Consumption Profile (percent total consumption) </t>
    </r>
    <r>
      <rPr>
        <b/>
        <vertAlign val="superscript"/>
        <sz val="10"/>
        <rFont val="Arial"/>
        <family val="2"/>
      </rPr>
      <t>1</t>
    </r>
  </si>
  <si>
    <r>
      <t xml:space="preserve">Average Electricity Consumption (kWh per Month) </t>
    </r>
    <r>
      <rPr>
        <b/>
        <vertAlign val="superscript"/>
        <sz val="10"/>
        <rFont val="Arial"/>
        <family val="2"/>
      </rPr>
      <t>2</t>
    </r>
  </si>
  <si>
    <r>
      <t xml:space="preserve">Electricity Prices (per kWh) </t>
    </r>
    <r>
      <rPr>
        <b/>
        <vertAlign val="superscript"/>
        <sz val="10"/>
        <rFont val="Arial"/>
        <family val="2"/>
      </rPr>
      <t>4</t>
    </r>
  </si>
  <si>
    <r>
      <t xml:space="preserve">Manya Krobo </t>
    </r>
    <r>
      <rPr>
        <vertAlign val="superscript"/>
        <sz val="10"/>
        <rFont val="Arial"/>
        <family val="2"/>
      </rPr>
      <t>1</t>
    </r>
  </si>
  <si>
    <r>
      <t xml:space="preserve">Yilo Krobo </t>
    </r>
    <r>
      <rPr>
        <vertAlign val="superscript"/>
        <sz val="10"/>
        <rFont val="Arial"/>
        <family val="2"/>
      </rPr>
      <t>1</t>
    </r>
  </si>
  <si>
    <t>Compact Year</t>
  </si>
  <si>
    <r>
      <t xml:space="preserve">Average Income Distribution (cedis per day) </t>
    </r>
    <r>
      <rPr>
        <b/>
        <vertAlign val="superscript"/>
        <sz val="10"/>
        <rFont val="Arial"/>
        <family val="2"/>
      </rPr>
      <t>3</t>
    </r>
  </si>
  <si>
    <t>Increases in productivity/income for households with increased use of electricity</t>
  </si>
  <si>
    <t>$75.0 million total for Support for Community Services Activity, of which Electrification is one component</t>
  </si>
  <si>
    <t>This worksheet highlights key assumptions and summarizes how the ERR may change due to varying costs and benefits.</t>
  </si>
  <si>
    <t>This worksheet presents the aggregated annual costs and benefits and calculates the ERR</t>
  </si>
  <si>
    <t>This worksheet lays out the household composition across the targeted districts</t>
  </si>
  <si>
    <t>This worksheet identifies the primary assumptions used in the model</t>
  </si>
  <si>
    <t>This worksheet provides the demand for electricity based on the income distribution of households</t>
  </si>
  <si>
    <t>This worksheet describes the changing income distribution based on increased electricity use</t>
  </si>
  <si>
    <t>Ghana: Rural Development Project</t>
  </si>
  <si>
    <t>Original ERR</t>
  </si>
  <si>
    <t>Closeout ERR</t>
  </si>
  <si>
    <t>Activity description</t>
  </si>
  <si>
    <t xml:space="preserve">Costs included in ERR </t>
  </si>
  <si>
    <t>Community Services: Electrification Activity</t>
  </si>
  <si>
    <t>20% over 20 years (attached model)</t>
  </si>
  <si>
    <t>Recurrent operational costs of institution</t>
  </si>
  <si>
    <t>Costs of electricity generation and transmission'</t>
  </si>
  <si>
    <t>NA</t>
  </si>
  <si>
    <t>Table of Contents</t>
  </si>
  <si>
    <t>Last updated:  5/2/2014</t>
  </si>
  <si>
    <t>The funds initially set aside for the Electrification Activity were re-allocated to the Agricultural Development Project: Post-Harvest Handling Activity.  Therefore this activity as originally designed and modeled was effectively terminated.</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</si>
</sst>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quot;;\-#,##0&quot;Lek&quot;"/>
    <numFmt numFmtId="165" formatCode="#,##0&quot;Lek&quot;;[Red]\-#,##0&quot;Lek&quot;"/>
    <numFmt numFmtId="166" formatCode="#,##0.00&quot;Lek&quot;;\-#,##0.00&quot;Lek&quot;"/>
    <numFmt numFmtId="167" formatCode="#,##0.00&quot;Lek&quot;;[Red]\-#,##0.00&quot;Lek&quot;"/>
    <numFmt numFmtId="168" formatCode="_-* #,##0&quot;Lek&quot;_-;\-* #,##0&quot;Lek&quot;_-;_-* &quot;-&quot;&quot;Lek&quot;_-;_-@_-"/>
    <numFmt numFmtId="169" formatCode="_-* #,##0_L_e_k_-;\-* #,##0_L_e_k_-;_-* &quot;-&quot;_L_e_k_-;_-@_-"/>
    <numFmt numFmtId="170" formatCode="_-* #,##0.00&quot;Lek&quot;_-;\-* #,##0.00&quot;Lek&quot;_-;_-* &quot;-&quot;??&quot;Lek&quot;_-;_-@_-"/>
    <numFmt numFmtId="171" formatCode="_-* #,##0.00_L_e_k_-;\-* #,##0.00_L_e_k_-;_-* &quot;-&quot;??_L_e_k_-;_-@_-"/>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 #,##0_-;\-* #,##0_-;_-* &quot;-&quot;_-;_-@_-"/>
    <numFmt numFmtId="178" formatCode="_-&quot;L.&quot;\ * #,##0.00_-;\-&quot;L.&quot;\ * #,##0.00_-;_-&quot;L.&quot;\ * &quot;-&quot;??_-;_-@_-"/>
    <numFmt numFmtId="179" formatCode="_-* #,##0.00_-;\-* #,##0.00_-;_-* &quot;-&quot;??_-;_-@_-"/>
    <numFmt numFmtId="180" formatCode="0.0%"/>
    <numFmt numFmtId="181" formatCode="_-* #,##0_-;\-* #,##0_-;_-* &quot;-&quot;??_-;_-@_-"/>
    <numFmt numFmtId="182" formatCode="0.0"/>
    <numFmt numFmtId="183" formatCode="0.000"/>
    <numFmt numFmtId="184" formatCode="_-* #,##0.0_-;\-* #,##0.0_-;_-* &quot;-&quot;??_-;_-@_-"/>
    <numFmt numFmtId="185" formatCode="_-* #,##0.000_-;\-* #,##0.000_-;_-* &quot;-&quot;??_-;_-@_-"/>
    <numFmt numFmtId="186" formatCode="#,##0.0"/>
    <numFmt numFmtId="187" formatCode="#,##0.000"/>
    <numFmt numFmtId="188" formatCode="0.000%"/>
    <numFmt numFmtId="189" formatCode="#,##0_ ;\-#,##0\ "/>
    <numFmt numFmtId="190" formatCode="0.0000%"/>
    <numFmt numFmtId="191" formatCode="0.00;[Red]0.00"/>
    <numFmt numFmtId="192" formatCode="#,##0.000000;[Red]\-#,##0.000000"/>
    <numFmt numFmtId="193" formatCode="_(* #,##0_);_(* \(#,##0\);_(* &quot;-&quot;??_);_(@_)"/>
    <numFmt numFmtId="194" formatCode="&quot;Yes&quot;;&quot;Yes&quot;;&quot;No&quot;"/>
    <numFmt numFmtId="195" formatCode="&quot;True&quot;;&quot;True&quot;;&quot;False&quot;"/>
    <numFmt numFmtId="196" formatCode="&quot;On&quot;;&quot;On&quot;;&quot;Off&quot;"/>
    <numFmt numFmtId="197" formatCode="&quot;$&quot;#,##0;\-&quot;$&quot;#,##0"/>
    <numFmt numFmtId="198" formatCode="&quot;$&quot;#,##0;[Red]\-&quot;$&quot;#,##0"/>
    <numFmt numFmtId="199" formatCode="&quot;$&quot;#,##0.00;\-&quot;$&quot;#,##0.00"/>
    <numFmt numFmtId="200" formatCode="&quot;$&quot;#,##0.00;[Red]\-&quot;$&quot;#,##0.00"/>
    <numFmt numFmtId="201" formatCode="_-&quot;$&quot;* #,##0_-;\-&quot;$&quot;* #,##0_-;_-&quot;$&quot;* &quot;-&quot;_-;_-@_-"/>
    <numFmt numFmtId="202" formatCode="_-&quot;$&quot;* #,##0.00_-;\-&quot;$&quot;* #,##0.00_-;_-&quot;$&quot;* &quot;-&quot;??_-;_-@_-"/>
    <numFmt numFmtId="203" formatCode="0_);[Red]\(0\)"/>
    <numFmt numFmtId="204" formatCode="_(* #,##0.0_);_(* \(#,##0.0\);_(* &quot;-&quot;??_);_(@_)"/>
    <numFmt numFmtId="205" formatCode="_-* #,##0.0000_L_e_k_-;\-* #,##0.0000_L_e_k_-;_-* &quot;-&quot;??_L_e_k_-;_-@_-"/>
    <numFmt numFmtId="206" formatCode="_-* #,##0.0_L_e_k_-;\-* #,##0.0_L_e_k_-;_-* &quot;-&quot;?_L_e_k_-;_-@_-"/>
    <numFmt numFmtId="207" formatCode="0.00000000"/>
    <numFmt numFmtId="208" formatCode="0_);\(0\)"/>
    <numFmt numFmtId="209" formatCode="0.0000000"/>
    <numFmt numFmtId="210" formatCode="0.000000"/>
    <numFmt numFmtId="211" formatCode="0.00000"/>
    <numFmt numFmtId="212" formatCode="0.0000"/>
    <numFmt numFmtId="213" formatCode="#,##0.0_);\(#,##0.0\)"/>
    <numFmt numFmtId="214" formatCode="#,##0.000_);\(#,##0.000\)"/>
    <numFmt numFmtId="215" formatCode="0.00_);\(0.00\)"/>
    <numFmt numFmtId="216" formatCode="#,##0.0000"/>
    <numFmt numFmtId="217" formatCode="#,##0.00000"/>
  </numFmts>
  <fonts count="70">
    <font>
      <sz val="12"/>
      <name val="Times New Roman"/>
      <family val="0"/>
    </font>
    <font>
      <u val="single"/>
      <sz val="10"/>
      <color indexed="36"/>
      <name val="Arial"/>
      <family val="2"/>
    </font>
    <font>
      <u val="single"/>
      <sz val="10"/>
      <color indexed="12"/>
      <name val="Arial"/>
      <family val="2"/>
    </font>
    <font>
      <sz val="10"/>
      <name val="Arial"/>
      <family val="2"/>
    </font>
    <font>
      <sz val="24"/>
      <name val="Arial"/>
      <family val="2"/>
    </font>
    <font>
      <b/>
      <sz val="16"/>
      <name val="Arial"/>
      <family val="2"/>
    </font>
    <font>
      <sz val="14"/>
      <name val="Arial"/>
      <family val="2"/>
    </font>
    <font>
      <b/>
      <sz val="12"/>
      <name val="Arial"/>
      <family val="2"/>
    </font>
    <font>
      <sz val="8"/>
      <name val="Arial"/>
      <family val="2"/>
    </font>
    <font>
      <sz val="10"/>
      <color indexed="17"/>
      <name val="Arial"/>
      <family val="2"/>
    </font>
    <font>
      <b/>
      <sz val="10"/>
      <name val="Arial"/>
      <family val="2"/>
    </font>
    <font>
      <vertAlign val="superscript"/>
      <sz val="8"/>
      <name val="Arial"/>
      <family val="2"/>
    </font>
    <font>
      <b/>
      <i/>
      <sz val="10"/>
      <name val="Arial"/>
      <family val="2"/>
    </font>
    <font>
      <b/>
      <vertAlign val="superscript"/>
      <sz val="10"/>
      <name val="Arial"/>
      <family val="2"/>
    </font>
    <font>
      <vertAlign val="superscript"/>
      <sz val="10"/>
      <name val="Arial"/>
      <family val="2"/>
    </font>
    <font>
      <i/>
      <sz val="10"/>
      <name val="Arial"/>
      <family val="2"/>
    </font>
    <font>
      <sz val="8"/>
      <name val="Times New Roman"/>
      <family val="1"/>
    </font>
    <font>
      <sz val="8"/>
      <color indexed="17"/>
      <name val="Arial"/>
      <family val="2"/>
    </font>
    <font>
      <b/>
      <sz val="8"/>
      <name val="Arial"/>
      <family val="2"/>
    </font>
    <font>
      <b/>
      <sz val="10"/>
      <color indexed="12"/>
      <name val="Arial"/>
      <family val="2"/>
    </font>
    <font>
      <sz val="10"/>
      <color indexed="12"/>
      <name val="Arial"/>
      <family val="2"/>
    </font>
    <font>
      <sz val="10"/>
      <color indexed="23"/>
      <name val="Arial"/>
      <family val="2"/>
    </font>
    <font>
      <b/>
      <sz val="10"/>
      <color indexed="55"/>
      <name val="Arial"/>
      <family val="2"/>
    </font>
    <font>
      <sz val="10"/>
      <color indexed="9"/>
      <name val="Arial"/>
      <family val="2"/>
    </font>
    <font>
      <b/>
      <sz val="10"/>
      <color indexed="9"/>
      <name val="Arial"/>
      <family val="2"/>
    </font>
    <font>
      <sz val="12"/>
      <name val="Arial"/>
      <family val="2"/>
    </font>
    <font>
      <b/>
      <sz val="14"/>
      <name val="Arial"/>
      <family val="2"/>
    </font>
    <font>
      <sz val="16"/>
      <name val="Arial"/>
      <family val="2"/>
    </font>
    <font>
      <b/>
      <sz val="8"/>
      <color indexed="8"/>
      <name val="Arial"/>
      <family val="2"/>
    </font>
    <font>
      <b/>
      <sz val="10"/>
      <color indexed="8"/>
      <name val="Arial"/>
      <family val="2"/>
    </font>
    <font>
      <sz val="8"/>
      <color indexed="8"/>
      <name val="Arial"/>
      <family val="2"/>
    </font>
    <font>
      <sz val="10"/>
      <color indexed="8"/>
      <name val="Arial"/>
      <family val="2"/>
    </font>
    <font>
      <b/>
      <u val="single"/>
      <sz val="10"/>
      <name val="Arial"/>
      <family val="2"/>
    </font>
    <font>
      <sz val="10"/>
      <name val="Times New Roman"/>
      <family val="1"/>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color indexed="63"/>
      </top>
      <bottom>
        <color indexed="63"/>
      </bottom>
    </border>
    <border>
      <left>
        <color indexed="63"/>
      </left>
      <right style="thick"/>
      <top>
        <color indexed="63"/>
      </top>
      <bottom>
        <color indexed="63"/>
      </bottom>
    </border>
    <border>
      <left style="thin"/>
      <right style="double"/>
      <top style="thin"/>
      <bottom style="thin"/>
    </border>
    <border>
      <left>
        <color indexed="63"/>
      </left>
      <right style="double"/>
      <top>
        <color indexed="63"/>
      </top>
      <bottom>
        <color indexed="63"/>
      </bottom>
    </border>
    <border>
      <left style="thin"/>
      <right style="thin"/>
      <top style="thin"/>
      <bottom style="mediu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ck"/>
      <right>
        <color indexed="63"/>
      </right>
      <top>
        <color indexed="63"/>
      </top>
      <bottom style="thick"/>
    </border>
    <border>
      <left>
        <color indexed="63"/>
      </left>
      <right>
        <color indexed="63"/>
      </right>
      <top style="medium"/>
      <bottom>
        <color indexed="63"/>
      </bottom>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double"/>
      <right style="thin"/>
      <top style="double"/>
      <bottom style="double"/>
    </border>
    <border>
      <left style="thin"/>
      <right style="double"/>
      <top style="double"/>
      <bottom style="double"/>
    </border>
    <border>
      <left style="double"/>
      <right style="thin"/>
      <top style="thin"/>
      <bottom style="thin"/>
    </border>
    <border>
      <left style="double"/>
      <right style="thin"/>
      <top>
        <color indexed="63"/>
      </top>
      <bottom>
        <color indexed="63"/>
      </bottom>
    </border>
    <border>
      <left style="thin"/>
      <right style="double"/>
      <top style="thin"/>
      <bottom/>
    </border>
    <border>
      <left style="thin"/>
      <right style="double"/>
      <top>
        <color indexed="63"/>
      </top>
      <bottom>
        <color indexed="63"/>
      </bottom>
    </border>
    <border>
      <left style="thin"/>
      <right style="double"/>
      <top/>
      <bottom style="thin"/>
    </border>
    <border>
      <left style="double"/>
      <right style="thin"/>
      <top>
        <color indexed="63"/>
      </top>
      <bottom style="double"/>
    </border>
    <border>
      <left style="thin"/>
      <right style="double"/>
      <top>
        <color indexed="63"/>
      </top>
      <bottom style="double"/>
    </border>
    <border>
      <left style="double"/>
      <right style="thin"/>
      <top style="thin"/>
      <bottom>
        <color indexed="63"/>
      </bottom>
    </border>
    <border>
      <left style="double"/>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8" fillId="0" borderId="0" applyNumberFormat="0" applyFill="0" applyBorder="0" applyAlignment="0" applyProtection="0"/>
    <xf numFmtId="0" fontId="1"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33" fillId="0" borderId="0">
      <alignment/>
      <protection/>
    </xf>
    <xf numFmtId="0" fontId="3"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54">
    <xf numFmtId="0" fontId="0" fillId="0" borderId="0" xfId="0" applyAlignment="1">
      <alignment/>
    </xf>
    <xf numFmtId="0" fontId="4" fillId="0" borderId="10" xfId="0" applyFont="1" applyBorder="1" applyAlignment="1">
      <alignment/>
    </xf>
    <xf numFmtId="0" fontId="4" fillId="0" borderId="0" xfId="0" applyFont="1" applyBorder="1" applyAlignment="1">
      <alignment horizontal="centerContinuous"/>
    </xf>
    <xf numFmtId="0" fontId="4" fillId="0" borderId="11" xfId="0" applyFont="1" applyBorder="1" applyAlignment="1">
      <alignment/>
    </xf>
    <xf numFmtId="0" fontId="4" fillId="0" borderId="0" xfId="0" applyFont="1" applyAlignment="1">
      <alignment/>
    </xf>
    <xf numFmtId="37" fontId="4" fillId="0" borderId="0" xfId="0" applyNumberFormat="1" applyFont="1" applyAlignment="1">
      <alignment/>
    </xf>
    <xf numFmtId="0" fontId="5" fillId="0" borderId="0" xfId="0" applyFont="1" applyBorder="1" applyAlignment="1" applyProtection="1">
      <alignment horizontal="centerContinuous"/>
      <protection locked="0"/>
    </xf>
    <xf numFmtId="3" fontId="8" fillId="0" borderId="0" xfId="0" applyNumberFormat="1" applyFont="1" applyFill="1" applyBorder="1" applyAlignment="1">
      <alignment horizontal="center"/>
    </xf>
    <xf numFmtId="0" fontId="3" fillId="0" borderId="0" xfId="0" applyFont="1" applyAlignment="1">
      <alignment vertical="center" wrapText="1"/>
    </xf>
    <xf numFmtId="0" fontId="9" fillId="0" borderId="0" xfId="0" applyFont="1" applyAlignment="1">
      <alignment horizontal="righ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5" fillId="0" borderId="0" xfId="0" applyFont="1" applyAlignment="1">
      <alignment wrapText="1"/>
    </xf>
    <xf numFmtId="0" fontId="3" fillId="0" borderId="0" xfId="0" applyFont="1" applyAlignment="1">
      <alignment wrapText="1"/>
    </xf>
    <xf numFmtId="0" fontId="10" fillId="0" borderId="0" xfId="0" applyFont="1" applyAlignment="1">
      <alignment wrapText="1"/>
    </xf>
    <xf numFmtId="0" fontId="3" fillId="0" borderId="0" xfId="0" applyFont="1" applyBorder="1" applyAlignment="1">
      <alignment horizontal="left" vertical="center" wrapText="1"/>
    </xf>
    <xf numFmtId="0" fontId="11" fillId="0" borderId="0" xfId="0" applyFont="1" applyAlignment="1">
      <alignment vertical="center" wrapText="1"/>
    </xf>
    <xf numFmtId="0" fontId="3" fillId="0" borderId="0" xfId="0" applyFont="1" applyAlignment="1">
      <alignment/>
    </xf>
    <xf numFmtId="37" fontId="3" fillId="0" borderId="0" xfId="0" applyNumberFormat="1" applyFont="1" applyAlignment="1">
      <alignment/>
    </xf>
    <xf numFmtId="0" fontId="12" fillId="0" borderId="0" xfId="0" applyFont="1" applyBorder="1" applyAlignment="1">
      <alignment horizontal="center"/>
    </xf>
    <xf numFmtId="0" fontId="3" fillId="0" borderId="0" xfId="0" applyFont="1" applyBorder="1" applyAlignment="1">
      <alignment/>
    </xf>
    <xf numFmtId="0" fontId="15" fillId="0" borderId="0" xfId="0" applyFont="1" applyBorder="1" applyAlignment="1">
      <alignment horizontal="center"/>
    </xf>
    <xf numFmtId="0" fontId="10" fillId="0" borderId="0" xfId="0" applyFont="1" applyBorder="1" applyAlignment="1">
      <alignment/>
    </xf>
    <xf numFmtId="0" fontId="17" fillId="0" borderId="0" xfId="0" applyFont="1" applyAlignment="1">
      <alignment horizontal="right"/>
    </xf>
    <xf numFmtId="3" fontId="18" fillId="0" borderId="0" xfId="0" applyNumberFormat="1" applyFont="1" applyFill="1" applyBorder="1" applyAlignment="1">
      <alignment horizontal="center"/>
    </xf>
    <xf numFmtId="0" fontId="6" fillId="0" borderId="0" xfId="0" applyFont="1" applyAlignment="1">
      <alignment/>
    </xf>
    <xf numFmtId="0" fontId="9" fillId="0" borderId="0" xfId="0" applyFont="1" applyAlignment="1">
      <alignment horizontal="right"/>
    </xf>
    <xf numFmtId="0" fontId="19" fillId="0" borderId="14" xfId="0" applyFont="1" applyBorder="1" applyAlignment="1">
      <alignment horizontal="center" vertical="center"/>
    </xf>
    <xf numFmtId="0" fontId="3"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3" fillId="0" borderId="16" xfId="0" applyFont="1" applyBorder="1" applyAlignment="1">
      <alignment vertical="center"/>
    </xf>
    <xf numFmtId="0" fontId="3" fillId="0" borderId="17" xfId="0" applyFont="1" applyBorder="1" applyAlignment="1">
      <alignment vertical="center" wrapText="1"/>
    </xf>
    <xf numFmtId="9" fontId="19" fillId="33" borderId="17" xfId="0" applyNumberFormat="1" applyFont="1" applyFill="1" applyBorder="1" applyAlignment="1">
      <alignment horizontal="center" vertical="center" wrapText="1"/>
    </xf>
    <xf numFmtId="9" fontId="3" fillId="0" borderId="17" xfId="0" applyNumberFormat="1" applyFont="1" applyBorder="1" applyAlignment="1">
      <alignment horizontal="center" vertical="center" wrapText="1"/>
    </xf>
    <xf numFmtId="0" fontId="3" fillId="0" borderId="18" xfId="0" applyFont="1" applyBorder="1" applyAlignment="1">
      <alignment horizontal="center" vertical="center" wrapText="1"/>
    </xf>
    <xf numFmtId="9" fontId="3" fillId="34" borderId="18" xfId="0" applyNumberFormat="1" applyFont="1" applyFill="1" applyBorder="1" applyAlignment="1">
      <alignment horizontal="center" vertical="center"/>
    </xf>
    <xf numFmtId="0" fontId="22" fillId="0" borderId="19" xfId="0" applyFont="1" applyFill="1" applyBorder="1" applyAlignment="1">
      <alignment horizontal="center" vertical="center" wrapText="1"/>
    </xf>
    <xf numFmtId="0" fontId="3" fillId="0" borderId="16" xfId="0" applyFont="1" applyFill="1" applyBorder="1" applyAlignment="1">
      <alignment vertical="center"/>
    </xf>
    <xf numFmtId="0" fontId="23" fillId="0" borderId="0" xfId="0" applyFont="1" applyAlignment="1">
      <alignment horizontal="center" vertical="center"/>
    </xf>
    <xf numFmtId="0" fontId="10" fillId="0" borderId="20" xfId="0" applyFont="1" applyBorder="1" applyAlignment="1">
      <alignment vertical="center"/>
    </xf>
    <xf numFmtId="0" fontId="20" fillId="0" borderId="17" xfId="53" applyFont="1" applyBorder="1" applyAlignment="1" applyProtection="1">
      <alignment vertical="center"/>
      <protection/>
    </xf>
    <xf numFmtId="0" fontId="20" fillId="0" borderId="19" xfId="53" applyFont="1" applyBorder="1" applyAlignment="1" applyProtection="1">
      <alignment vertical="center"/>
      <protection/>
    </xf>
    <xf numFmtId="0" fontId="3" fillId="0" borderId="0" xfId="0" applyFont="1" applyAlignment="1">
      <alignment vertical="center"/>
    </xf>
    <xf numFmtId="0" fontId="3" fillId="0" borderId="0" xfId="0" applyFont="1" applyBorder="1" applyAlignment="1">
      <alignment vertical="center"/>
    </xf>
    <xf numFmtId="10" fontId="3" fillId="0" borderId="0" xfId="0" applyNumberFormat="1" applyFont="1" applyAlignment="1">
      <alignment/>
    </xf>
    <xf numFmtId="0" fontId="10" fillId="0" borderId="21" xfId="0" applyFont="1" applyBorder="1" applyAlignment="1">
      <alignment horizontal="left" vertical="center"/>
    </xf>
    <xf numFmtId="0" fontId="19" fillId="0" borderId="21" xfId="0" applyFont="1" applyBorder="1" applyAlignment="1">
      <alignment horizontal="center" vertical="center"/>
    </xf>
    <xf numFmtId="0" fontId="3" fillId="0" borderId="21" xfId="0" applyFont="1" applyBorder="1" applyAlignment="1">
      <alignment horizontal="center" vertical="center" wrapText="1"/>
    </xf>
    <xf numFmtId="0" fontId="3" fillId="0" borderId="0" xfId="0" applyFont="1" applyBorder="1" applyAlignment="1">
      <alignment/>
    </xf>
    <xf numFmtId="0" fontId="10" fillId="0" borderId="0" xfId="0" applyFont="1" applyBorder="1" applyAlignment="1">
      <alignment horizontal="right" vertical="center"/>
    </xf>
    <xf numFmtId="180" fontId="24" fillId="35" borderId="20" xfId="0" applyNumberFormat="1" applyFont="1" applyFill="1" applyBorder="1" applyAlignment="1">
      <alignment horizontal="center" vertical="center"/>
    </xf>
    <xf numFmtId="10" fontId="3" fillId="0" borderId="0" xfId="0" applyNumberFormat="1" applyFont="1" applyAlignment="1">
      <alignment vertical="center"/>
    </xf>
    <xf numFmtId="0" fontId="10" fillId="0" borderId="0" xfId="0" applyFont="1" applyFill="1" applyBorder="1" applyAlignment="1">
      <alignment horizontal="right" vertical="center"/>
    </xf>
    <xf numFmtId="180" fontId="10" fillId="0" borderId="20" xfId="0" applyNumberFormat="1" applyFont="1" applyBorder="1" applyAlignment="1">
      <alignment horizontal="center" vertical="center"/>
    </xf>
    <xf numFmtId="0" fontId="3" fillId="0" borderId="0" xfId="0" applyFont="1" applyAlignment="1">
      <alignment horizontal="justify" wrapText="1"/>
    </xf>
    <xf numFmtId="0" fontId="25" fillId="0" borderId="0" xfId="0" applyFont="1" applyAlignment="1">
      <alignment/>
    </xf>
    <xf numFmtId="0" fontId="26" fillId="0" borderId="0" xfId="0" applyFont="1" applyFill="1" applyBorder="1" applyAlignment="1">
      <alignment horizontal="left" vertical="center"/>
    </xf>
    <xf numFmtId="0" fontId="4" fillId="0" borderId="0" xfId="0" applyFont="1" applyBorder="1" applyAlignment="1" applyProtection="1">
      <alignment horizontal="centerContinuous"/>
      <protection locked="0"/>
    </xf>
    <xf numFmtId="0" fontId="27" fillId="0" borderId="10" xfId="0" applyFont="1" applyBorder="1" applyAlignment="1">
      <alignment/>
    </xf>
    <xf numFmtId="0" fontId="27" fillId="0" borderId="0" xfId="0" applyFont="1" applyBorder="1" applyAlignment="1">
      <alignment horizontal="centerContinuous"/>
    </xf>
    <xf numFmtId="0" fontId="27" fillId="0" borderId="11" xfId="0" applyFont="1" applyBorder="1" applyAlignment="1">
      <alignment/>
    </xf>
    <xf numFmtId="0" fontId="27" fillId="0" borderId="0" xfId="0" applyFont="1" applyAlignment="1">
      <alignment/>
    </xf>
    <xf numFmtId="37" fontId="27" fillId="0" borderId="0" xfId="0" applyNumberFormat="1" applyFont="1" applyAlignment="1">
      <alignment/>
    </xf>
    <xf numFmtId="0" fontId="25" fillId="0" borderId="10" xfId="0" applyFont="1" applyBorder="1" applyAlignment="1">
      <alignment/>
    </xf>
    <xf numFmtId="0" fontId="7" fillId="0" borderId="10" xfId="0" applyFont="1" applyBorder="1" applyAlignment="1">
      <alignment horizontal="center"/>
    </xf>
    <xf numFmtId="3" fontId="7" fillId="0" borderId="10" xfId="0" applyNumberFormat="1" applyFont="1" applyBorder="1" applyAlignment="1">
      <alignment horizontal="center"/>
    </xf>
    <xf numFmtId="0" fontId="7" fillId="0" borderId="10" xfId="0" applyFont="1" applyBorder="1" applyAlignment="1">
      <alignment/>
    </xf>
    <xf numFmtId="0" fontId="25" fillId="0" borderId="22" xfId="0" applyFont="1" applyBorder="1" applyAlignment="1">
      <alignment/>
    </xf>
    <xf numFmtId="10" fontId="25" fillId="0" borderId="0" xfId="61" applyNumberFormat="1" applyFont="1" applyAlignment="1">
      <alignment/>
    </xf>
    <xf numFmtId="0" fontId="5" fillId="0" borderId="0" xfId="0" applyFont="1" applyFill="1" applyBorder="1" applyAlignment="1">
      <alignment horizontal="left" vertical="center"/>
    </xf>
    <xf numFmtId="0" fontId="4" fillId="0" borderId="10" xfId="0" applyFont="1" applyFill="1" applyBorder="1" applyAlignment="1">
      <alignment vertical="center"/>
    </xf>
    <xf numFmtId="0" fontId="4" fillId="0" borderId="0" xfId="0" applyFont="1" applyFill="1" applyBorder="1" applyAlignment="1">
      <alignment horizontal="centerContinuous" vertical="center"/>
    </xf>
    <xf numFmtId="0" fontId="4" fillId="0" borderId="11" xfId="0" applyFont="1" applyFill="1" applyBorder="1" applyAlignment="1">
      <alignment vertical="center"/>
    </xf>
    <xf numFmtId="0" fontId="4" fillId="0" borderId="0" xfId="0" applyFont="1" applyFill="1" applyBorder="1" applyAlignment="1">
      <alignment vertical="center"/>
    </xf>
    <xf numFmtId="0" fontId="8" fillId="0" borderId="10" xfId="0" applyFont="1" applyFill="1" applyBorder="1" applyAlignment="1">
      <alignment vertical="center"/>
    </xf>
    <xf numFmtId="0" fontId="8" fillId="0" borderId="0" xfId="0" applyFont="1" applyFill="1" applyBorder="1" applyAlignment="1">
      <alignment vertical="center"/>
    </xf>
    <xf numFmtId="0" fontId="8" fillId="0" borderId="11" xfId="0" applyFont="1" applyFill="1" applyBorder="1" applyAlignment="1">
      <alignment vertical="center"/>
    </xf>
    <xf numFmtId="0" fontId="8"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8" fillId="0" borderId="0" xfId="0" applyFont="1" applyFill="1" applyBorder="1" applyAlignment="1">
      <alignment vertical="center"/>
    </xf>
    <xf numFmtId="0" fontId="29" fillId="0" borderId="0" xfId="0" applyFont="1" applyFill="1" applyBorder="1" applyAlignment="1">
      <alignment horizontal="center" vertical="center"/>
    </xf>
    <xf numFmtId="0" fontId="10" fillId="0" borderId="0" xfId="0" applyFont="1" applyFill="1" applyBorder="1" applyAlignment="1">
      <alignment horizontal="center" vertical="center"/>
    </xf>
    <xf numFmtId="3" fontId="28" fillId="0" borderId="0" xfId="0" applyNumberFormat="1" applyFont="1" applyFill="1" applyBorder="1" applyAlignment="1">
      <alignment horizontal="center" vertical="center"/>
    </xf>
    <xf numFmtId="3" fontId="29" fillId="0" borderId="0" xfId="0" applyNumberFormat="1" applyFont="1" applyFill="1" applyBorder="1" applyAlignment="1">
      <alignment horizontal="center" vertical="center"/>
    </xf>
    <xf numFmtId="3"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center" vertical="center"/>
    </xf>
    <xf numFmtId="3" fontId="10" fillId="0" borderId="0" xfId="0" applyNumberFormat="1" applyFont="1" applyFill="1" applyBorder="1" applyAlignment="1">
      <alignment vertical="center"/>
    </xf>
    <xf numFmtId="3" fontId="30" fillId="0" borderId="0" xfId="0" applyNumberFormat="1" applyFont="1" applyFill="1" applyBorder="1" applyAlignment="1">
      <alignment horizontal="center" vertical="center"/>
    </xf>
    <xf numFmtId="3" fontId="8" fillId="0" borderId="0" xfId="0" applyNumberFormat="1" applyFont="1" applyFill="1" applyBorder="1" applyAlignment="1">
      <alignment vertical="center"/>
    </xf>
    <xf numFmtId="186" fontId="30" fillId="0" borderId="0" xfId="0" applyNumberFormat="1" applyFont="1" applyFill="1" applyBorder="1" applyAlignment="1">
      <alignment horizontal="center" vertical="center"/>
    </xf>
    <xf numFmtId="3" fontId="8" fillId="0" borderId="0" xfId="0" applyNumberFormat="1" applyFont="1" applyFill="1" applyBorder="1" applyAlignment="1">
      <alignment horizontal="center" vertical="center"/>
    </xf>
    <xf numFmtId="9" fontId="8" fillId="0" borderId="0" xfId="61" applyFont="1" applyFill="1" applyBorder="1" applyAlignment="1">
      <alignment horizontal="center" vertical="center"/>
    </xf>
    <xf numFmtId="186" fontId="8" fillId="0" borderId="0" xfId="0" applyNumberFormat="1" applyFont="1" applyFill="1" applyBorder="1" applyAlignment="1">
      <alignment horizontal="center" vertical="center"/>
    </xf>
    <xf numFmtId="3" fontId="8" fillId="0" borderId="0" xfId="0" applyNumberFormat="1" applyFont="1" applyFill="1" applyBorder="1" applyAlignment="1" quotePrefix="1">
      <alignment vertical="center"/>
    </xf>
    <xf numFmtId="186" fontId="18" fillId="0" borderId="0" xfId="0" applyNumberFormat="1" applyFont="1" applyFill="1" applyBorder="1" applyAlignment="1">
      <alignment horizontal="center" vertical="center"/>
    </xf>
    <xf numFmtId="9" fontId="18" fillId="0" borderId="0" xfId="61" applyFont="1" applyFill="1" applyBorder="1" applyAlignment="1">
      <alignment horizontal="center" vertical="center"/>
    </xf>
    <xf numFmtId="0" fontId="30" fillId="0" borderId="23" xfId="0" applyFont="1" applyFill="1" applyBorder="1" applyAlignment="1">
      <alignment vertical="center"/>
    </xf>
    <xf numFmtId="1" fontId="30" fillId="0" borderId="23" xfId="0" applyNumberFormat="1" applyFont="1" applyFill="1" applyBorder="1" applyAlignment="1">
      <alignment horizontal="center" vertical="center"/>
    </xf>
    <xf numFmtId="0" fontId="8" fillId="0" borderId="23" xfId="0" applyFont="1" applyFill="1" applyBorder="1" applyAlignment="1">
      <alignment horizontal="center" vertical="center"/>
    </xf>
    <xf numFmtId="0" fontId="30" fillId="0" borderId="0" xfId="0" applyFont="1" applyFill="1" applyBorder="1" applyAlignment="1">
      <alignment vertical="center"/>
    </xf>
    <xf numFmtId="1" fontId="30" fillId="0" borderId="0" xfId="0" applyNumberFormat="1" applyFont="1" applyFill="1" applyBorder="1" applyAlignment="1">
      <alignment horizontal="center" vertical="center"/>
    </xf>
    <xf numFmtId="1" fontId="30" fillId="0" borderId="0" xfId="0" applyNumberFormat="1" applyFont="1" applyFill="1" applyBorder="1" applyAlignment="1">
      <alignment horizontal="left" vertical="center"/>
    </xf>
    <xf numFmtId="2" fontId="30" fillId="0" borderId="0" xfId="0" applyNumberFormat="1" applyFont="1" applyFill="1" applyBorder="1" applyAlignment="1">
      <alignment horizontal="center" vertical="center"/>
    </xf>
    <xf numFmtId="1" fontId="8" fillId="0" borderId="0" xfId="0" applyNumberFormat="1" applyFont="1" applyFill="1" applyBorder="1" applyAlignment="1">
      <alignment horizontal="center" vertical="center"/>
    </xf>
    <xf numFmtId="0" fontId="8" fillId="0" borderId="0" xfId="0" applyFont="1" applyFill="1" applyBorder="1" applyAlignment="1">
      <alignment horizontal="left" vertical="center"/>
    </xf>
    <xf numFmtId="0" fontId="8" fillId="0" borderId="22" xfId="0" applyFont="1" applyFill="1" applyBorder="1" applyAlignment="1">
      <alignment vertical="center"/>
    </xf>
    <xf numFmtId="0" fontId="8" fillId="0" borderId="24" xfId="0" applyFont="1" applyFill="1" applyBorder="1" applyAlignment="1">
      <alignment vertical="center"/>
    </xf>
    <xf numFmtId="0" fontId="8" fillId="0" borderId="24" xfId="0" applyFont="1" applyFill="1" applyBorder="1" applyAlignment="1">
      <alignment horizontal="center" vertical="center"/>
    </xf>
    <xf numFmtId="0" fontId="8" fillId="0" borderId="25" xfId="0" applyFont="1" applyFill="1" applyBorder="1" applyAlignment="1">
      <alignment vertical="center"/>
    </xf>
    <xf numFmtId="0" fontId="30" fillId="0" borderId="0" xfId="0" applyFont="1" applyFill="1" applyBorder="1" applyAlignment="1">
      <alignment horizontal="center" vertical="center"/>
    </xf>
    <xf numFmtId="3" fontId="8" fillId="0" borderId="0" xfId="0" applyNumberFormat="1" applyFont="1" applyFill="1" applyBorder="1" applyAlignment="1" quotePrefix="1">
      <alignment horizontal="center" vertical="center"/>
    </xf>
    <xf numFmtId="0" fontId="8" fillId="0" borderId="26" xfId="0" applyFont="1" applyFill="1" applyBorder="1" applyAlignment="1">
      <alignment vertical="center"/>
    </xf>
    <xf numFmtId="0" fontId="8" fillId="0" borderId="27" xfId="0" applyFont="1" applyFill="1" applyBorder="1" applyAlignment="1">
      <alignment horizontal="center" vertical="center"/>
    </xf>
    <xf numFmtId="0" fontId="8" fillId="0" borderId="27" xfId="0" applyFont="1" applyFill="1" applyBorder="1" applyAlignment="1">
      <alignment vertical="center"/>
    </xf>
    <xf numFmtId="0" fontId="8" fillId="0" borderId="28" xfId="0" applyFont="1" applyFill="1" applyBorder="1" applyAlignment="1">
      <alignment vertical="center"/>
    </xf>
    <xf numFmtId="3" fontId="31" fillId="0" borderId="0" xfId="0" applyNumberFormat="1" applyFont="1" applyFill="1" applyBorder="1" applyAlignment="1">
      <alignment horizontal="center" vertical="center"/>
    </xf>
    <xf numFmtId="10" fontId="8" fillId="0" borderId="0" xfId="0" applyNumberFormat="1" applyFont="1" applyFill="1" applyBorder="1" applyAlignment="1">
      <alignment vertical="center"/>
    </xf>
    <xf numFmtId="0" fontId="11" fillId="0" borderId="0" xfId="0" applyFont="1" applyFill="1" applyBorder="1" applyAlignment="1">
      <alignment vertical="center"/>
    </xf>
    <xf numFmtId="0" fontId="10" fillId="0" borderId="0" xfId="0" applyFont="1" applyFill="1" applyBorder="1" applyAlignment="1">
      <alignment vertical="center"/>
    </xf>
    <xf numFmtId="3" fontId="3" fillId="0" borderId="0" xfId="0" applyNumberFormat="1" applyFont="1" applyFill="1" applyBorder="1" applyAlignment="1">
      <alignment vertical="center"/>
    </xf>
    <xf numFmtId="186" fontId="31" fillId="0" borderId="0" xfId="0" applyNumberFormat="1" applyFont="1" applyFill="1" applyBorder="1" applyAlignment="1">
      <alignment horizontal="center" vertical="center"/>
    </xf>
    <xf numFmtId="9" fontId="31" fillId="0" borderId="0" xfId="61" applyFont="1" applyFill="1" applyBorder="1" applyAlignment="1">
      <alignment horizontal="center" vertical="center"/>
    </xf>
    <xf numFmtId="3" fontId="3" fillId="0" borderId="0" xfId="0" applyNumberFormat="1" applyFont="1" applyFill="1" applyBorder="1" applyAlignment="1" quotePrefix="1">
      <alignment vertical="center"/>
    </xf>
    <xf numFmtId="190" fontId="31" fillId="0" borderId="0" xfId="0" applyNumberFormat="1" applyFont="1" applyFill="1" applyBorder="1" applyAlignment="1">
      <alignment horizontal="center" vertical="center"/>
    </xf>
    <xf numFmtId="9" fontId="3" fillId="0" borderId="0" xfId="61" applyFont="1" applyFill="1" applyBorder="1" applyAlignment="1">
      <alignment horizontal="center" vertical="center"/>
    </xf>
    <xf numFmtId="9" fontId="20" fillId="0" borderId="0" xfId="0" applyNumberFormat="1" applyFont="1" applyFill="1" applyBorder="1" applyAlignment="1">
      <alignment horizontal="center" vertical="center"/>
    </xf>
    <xf numFmtId="0" fontId="3" fillId="0" borderId="0" xfId="0" applyFont="1" applyFill="1" applyBorder="1" applyAlignment="1">
      <alignment vertical="center"/>
    </xf>
    <xf numFmtId="0" fontId="10"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1" fillId="0" borderId="0" xfId="0" applyFont="1" applyFill="1" applyBorder="1" applyAlignment="1">
      <alignment horizontal="center" vertical="center"/>
    </xf>
    <xf numFmtId="3" fontId="3" fillId="0" borderId="0" xfId="0" applyNumberFormat="1" applyFont="1" applyFill="1" applyBorder="1" applyAlignment="1">
      <alignment horizontal="center" vertical="center"/>
    </xf>
    <xf numFmtId="186" fontId="3" fillId="0" borderId="0" xfId="0" applyNumberFormat="1" applyFont="1" applyFill="1" applyBorder="1" applyAlignment="1">
      <alignment horizontal="center" vertical="center"/>
    </xf>
    <xf numFmtId="3" fontId="3" fillId="0" borderId="0" xfId="61" applyNumberFormat="1" applyFont="1" applyFill="1" applyBorder="1" applyAlignment="1">
      <alignment horizontal="center" vertical="center"/>
    </xf>
    <xf numFmtId="4" fontId="31" fillId="0" borderId="0" xfId="0" applyNumberFormat="1" applyFont="1" applyFill="1" applyBorder="1" applyAlignment="1">
      <alignment horizontal="center" vertical="center"/>
    </xf>
    <xf numFmtId="3" fontId="31" fillId="0" borderId="0" xfId="61" applyNumberFormat="1" applyFont="1" applyFill="1" applyBorder="1" applyAlignment="1">
      <alignment horizontal="center" vertical="center"/>
    </xf>
    <xf numFmtId="186" fontId="10" fillId="0" borderId="0" xfId="0" applyNumberFormat="1" applyFont="1" applyFill="1" applyBorder="1" applyAlignment="1">
      <alignment horizontal="center" vertical="center"/>
    </xf>
    <xf numFmtId="9" fontId="10" fillId="0" borderId="0" xfId="61" applyFont="1" applyFill="1" applyBorder="1" applyAlignment="1">
      <alignment horizontal="center" vertical="center"/>
    </xf>
    <xf numFmtId="0" fontId="3" fillId="0" borderId="11" xfId="0" applyFont="1" applyFill="1" applyBorder="1" applyAlignment="1">
      <alignment vertical="center"/>
    </xf>
    <xf numFmtId="0" fontId="31" fillId="0" borderId="23" xfId="0" applyFont="1" applyFill="1" applyBorder="1" applyAlignment="1">
      <alignment vertical="center"/>
    </xf>
    <xf numFmtId="1" fontId="31" fillId="0" borderId="23" xfId="0" applyNumberFormat="1"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vertical="center"/>
    </xf>
    <xf numFmtId="0" fontId="3" fillId="0" borderId="24" xfId="0" applyFont="1" applyFill="1" applyBorder="1" applyAlignment="1">
      <alignment horizontal="center" vertical="center"/>
    </xf>
    <xf numFmtId="0" fontId="3" fillId="0" borderId="25" xfId="0" applyFont="1" applyFill="1" applyBorder="1" applyAlignment="1">
      <alignment vertical="center"/>
    </xf>
    <xf numFmtId="3" fontId="3" fillId="0" borderId="0" xfId="0" applyNumberFormat="1" applyFont="1" applyFill="1" applyBorder="1" applyAlignment="1" quotePrefix="1">
      <alignment horizontal="center" vertical="center"/>
    </xf>
    <xf numFmtId="0" fontId="32" fillId="0" borderId="0" xfId="0" applyFont="1" applyBorder="1" applyAlignment="1">
      <alignment horizontal="center"/>
    </xf>
    <xf numFmtId="0" fontId="10" fillId="0" borderId="0" xfId="0" applyFont="1" applyBorder="1" applyAlignment="1">
      <alignment horizontal="center"/>
    </xf>
    <xf numFmtId="0" fontId="10" fillId="0" borderId="11" xfId="0" applyFont="1" applyBorder="1" applyAlignment="1">
      <alignment horizontal="center"/>
    </xf>
    <xf numFmtId="0" fontId="10" fillId="0" borderId="0" xfId="0" applyFont="1" applyAlignment="1">
      <alignment horizontal="center"/>
    </xf>
    <xf numFmtId="1" fontId="10" fillId="0" borderId="0" xfId="0" applyNumberFormat="1" applyFont="1" applyAlignment="1">
      <alignment horizontal="center"/>
    </xf>
    <xf numFmtId="37" fontId="10" fillId="0" borderId="0" xfId="0" applyNumberFormat="1" applyFont="1" applyAlignment="1">
      <alignment horizontal="center"/>
    </xf>
    <xf numFmtId="0" fontId="32" fillId="0" borderId="0" xfId="0" applyFont="1" applyBorder="1" applyAlignment="1">
      <alignment horizontal="left"/>
    </xf>
    <xf numFmtId="3" fontId="32" fillId="0" borderId="0" xfId="0" applyNumberFormat="1" applyFont="1" applyBorder="1" applyAlignment="1">
      <alignment horizontal="left"/>
    </xf>
    <xf numFmtId="3" fontId="32" fillId="0" borderId="0" xfId="0" applyNumberFormat="1" applyFont="1" applyBorder="1" applyAlignment="1">
      <alignment horizontal="center"/>
    </xf>
    <xf numFmtId="3" fontId="10" fillId="0" borderId="0" xfId="0" applyNumberFormat="1" applyFont="1" applyBorder="1" applyAlignment="1">
      <alignment horizontal="center"/>
    </xf>
    <xf numFmtId="3" fontId="10" fillId="0" borderId="11" xfId="0" applyNumberFormat="1" applyFont="1" applyBorder="1" applyAlignment="1">
      <alignment horizontal="center"/>
    </xf>
    <xf numFmtId="3" fontId="10" fillId="0" borderId="0" xfId="0" applyNumberFormat="1" applyFont="1" applyAlignment="1">
      <alignment horizontal="center"/>
    </xf>
    <xf numFmtId="37" fontId="3" fillId="0" borderId="0" xfId="0" applyNumberFormat="1" applyFont="1" applyBorder="1" applyAlignment="1">
      <alignment horizontal="center"/>
    </xf>
    <xf numFmtId="37" fontId="3" fillId="0" borderId="11" xfId="0" applyNumberFormat="1" applyFont="1" applyBorder="1" applyAlignment="1">
      <alignment horizontal="center"/>
    </xf>
    <xf numFmtId="37" fontId="10" fillId="0" borderId="0" xfId="0" applyNumberFormat="1" applyFont="1" applyBorder="1" applyAlignment="1">
      <alignment horizontal="center"/>
    </xf>
    <xf numFmtId="0" fontId="10" fillId="0" borderId="0" xfId="0" applyFont="1" applyBorder="1" applyAlignment="1">
      <alignment/>
    </xf>
    <xf numFmtId="37" fontId="10" fillId="0" borderId="11" xfId="0" applyNumberFormat="1" applyFont="1" applyBorder="1" applyAlignment="1">
      <alignment horizontal="center"/>
    </xf>
    <xf numFmtId="37" fontId="10" fillId="0" borderId="0" xfId="0" applyNumberFormat="1" applyFont="1" applyAlignment="1">
      <alignment/>
    </xf>
    <xf numFmtId="0" fontId="10" fillId="0" borderId="0" xfId="0" applyFont="1" applyAlignment="1">
      <alignment/>
    </xf>
    <xf numFmtId="37" fontId="3" fillId="0" borderId="0" xfId="58" applyNumberFormat="1" applyFont="1" applyFill="1" applyBorder="1" applyAlignment="1">
      <alignment horizontal="center" vertical="center"/>
      <protection/>
    </xf>
    <xf numFmtId="37" fontId="3" fillId="0" borderId="0" xfId="0" applyNumberFormat="1" applyFont="1" applyAlignment="1">
      <alignment horizontal="center"/>
    </xf>
    <xf numFmtId="9" fontId="23" fillId="35" borderId="0" xfId="61" applyFont="1" applyFill="1" applyBorder="1" applyAlignment="1">
      <alignment horizontal="center"/>
    </xf>
    <xf numFmtId="213" fontId="3" fillId="0" borderId="0" xfId="0" applyNumberFormat="1" applyFont="1" applyBorder="1" applyAlignment="1">
      <alignment horizontal="center"/>
    </xf>
    <xf numFmtId="0" fontId="3" fillId="0" borderId="0" xfId="0" applyFont="1" applyBorder="1" applyAlignment="1">
      <alignment horizontal="center"/>
    </xf>
    <xf numFmtId="0" fontId="10" fillId="0" borderId="23" xfId="0" applyFont="1" applyBorder="1" applyAlignment="1">
      <alignment/>
    </xf>
    <xf numFmtId="0" fontId="3" fillId="0" borderId="23" xfId="0" applyFont="1" applyBorder="1" applyAlignment="1">
      <alignment/>
    </xf>
    <xf numFmtId="0" fontId="3" fillId="0" borderId="23" xfId="0" applyFont="1" applyBorder="1" applyAlignment="1">
      <alignment horizontal="center"/>
    </xf>
    <xf numFmtId="0" fontId="13" fillId="0" borderId="0" xfId="0" applyFont="1" applyBorder="1" applyAlignment="1">
      <alignment/>
    </xf>
    <xf numFmtId="3" fontId="3" fillId="0" borderId="0" xfId="0" applyNumberFormat="1" applyFont="1" applyBorder="1" applyAlignment="1">
      <alignment horizontal="center"/>
    </xf>
    <xf numFmtId="39" fontId="3" fillId="0" borderId="0" xfId="42" applyNumberFormat="1" applyFont="1" applyBorder="1" applyAlignment="1">
      <alignment horizontal="center"/>
    </xf>
    <xf numFmtId="39" fontId="10" fillId="0" borderId="0" xfId="42" applyNumberFormat="1" applyFont="1" applyBorder="1" applyAlignment="1">
      <alignment horizontal="center"/>
    </xf>
    <xf numFmtId="5" fontId="3" fillId="0" borderId="0" xfId="42" applyNumberFormat="1" applyFont="1" applyBorder="1" applyAlignment="1">
      <alignment horizontal="center"/>
    </xf>
    <xf numFmtId="0" fontId="10" fillId="0" borderId="24" xfId="0" applyFont="1" applyBorder="1" applyAlignment="1">
      <alignment/>
    </xf>
    <xf numFmtId="0" fontId="3" fillId="0" borderId="24" xfId="0" applyFont="1" applyBorder="1" applyAlignment="1">
      <alignment/>
    </xf>
    <xf numFmtId="0" fontId="3" fillId="0" borderId="24" xfId="0" applyFont="1" applyBorder="1" applyAlignment="1">
      <alignment horizontal="center"/>
    </xf>
    <xf numFmtId="37" fontId="3" fillId="0" borderId="25" xfId="0" applyNumberFormat="1" applyFont="1" applyBorder="1" applyAlignment="1">
      <alignment horizontal="center"/>
    </xf>
    <xf numFmtId="0" fontId="3" fillId="0" borderId="0" xfId="0" applyFont="1" applyAlignment="1">
      <alignment horizontal="center"/>
    </xf>
    <xf numFmtId="9" fontId="20" fillId="33" borderId="0" xfId="0" applyNumberFormat="1" applyFont="1" applyFill="1" applyBorder="1" applyAlignment="1">
      <alignment horizontal="center"/>
    </xf>
    <xf numFmtId="3" fontId="10" fillId="0" borderId="0" xfId="0" applyNumberFormat="1" applyFont="1" applyBorder="1" applyAlignment="1">
      <alignment/>
    </xf>
    <xf numFmtId="3" fontId="3" fillId="0" borderId="0" xfId="0" applyNumberFormat="1" applyFont="1" applyBorder="1" applyAlignment="1">
      <alignment/>
    </xf>
    <xf numFmtId="0" fontId="10" fillId="0" borderId="0" xfId="0" applyFont="1" applyBorder="1" applyAlignment="1">
      <alignment horizontal="center" vertical="center"/>
    </xf>
    <xf numFmtId="9" fontId="20" fillId="33" borderId="0" xfId="0" applyNumberFormat="1" applyFont="1" applyFill="1" applyAlignment="1">
      <alignment horizontal="center"/>
    </xf>
    <xf numFmtId="3" fontId="3" fillId="0" borderId="0" xfId="0" applyNumberFormat="1" applyFont="1" applyFill="1" applyAlignment="1">
      <alignment horizontal="center"/>
    </xf>
    <xf numFmtId="37" fontId="3" fillId="0" borderId="0" xfId="61" applyNumberFormat="1" applyFont="1" applyAlignment="1">
      <alignment horizontal="center"/>
    </xf>
    <xf numFmtId="214" fontId="3" fillId="0" borderId="0" xfId="0" applyNumberFormat="1" applyFont="1" applyAlignment="1">
      <alignment horizontal="center"/>
    </xf>
    <xf numFmtId="39" fontId="3" fillId="0" borderId="0" xfId="0" applyNumberFormat="1" applyFont="1" applyAlignment="1">
      <alignment horizontal="center"/>
    </xf>
    <xf numFmtId="3" fontId="3" fillId="0" borderId="0" xfId="61" applyNumberFormat="1" applyFont="1" applyAlignment="1">
      <alignment horizontal="center"/>
    </xf>
    <xf numFmtId="10" fontId="3" fillId="0" borderId="0" xfId="61" applyNumberFormat="1" applyFont="1" applyBorder="1" applyAlignment="1">
      <alignment horizontal="center"/>
    </xf>
    <xf numFmtId="37" fontId="3" fillId="0" borderId="0" xfId="61" applyNumberFormat="1" applyFont="1" applyBorder="1" applyAlignment="1">
      <alignment horizontal="center"/>
    </xf>
    <xf numFmtId="10" fontId="3" fillId="0" borderId="0" xfId="61" applyNumberFormat="1" applyFont="1" applyAlignment="1">
      <alignment horizontal="center"/>
    </xf>
    <xf numFmtId="10" fontId="3" fillId="0" borderId="0" xfId="61" applyNumberFormat="1" applyFont="1" applyAlignment="1">
      <alignment/>
    </xf>
    <xf numFmtId="9" fontId="3" fillId="0" borderId="0" xfId="61" applyFont="1" applyBorder="1" applyAlignment="1">
      <alignment horizontal="center"/>
    </xf>
    <xf numFmtId="39" fontId="3" fillId="0" borderId="0" xfId="0" applyNumberFormat="1" applyFont="1" applyBorder="1" applyAlignment="1">
      <alignment horizontal="center"/>
    </xf>
    <xf numFmtId="10" fontId="10" fillId="0" borderId="0" xfId="61" applyNumberFormat="1" applyFont="1" applyAlignment="1">
      <alignment/>
    </xf>
    <xf numFmtId="3" fontId="3" fillId="0" borderId="0" xfId="0" applyNumberFormat="1" applyFont="1" applyFill="1" applyBorder="1" applyAlignment="1">
      <alignment horizontal="center"/>
    </xf>
    <xf numFmtId="3" fontId="15" fillId="0" borderId="0" xfId="0" applyNumberFormat="1" applyFont="1" applyFill="1" applyBorder="1" applyAlignment="1">
      <alignment vertical="center"/>
    </xf>
    <xf numFmtId="180" fontId="31" fillId="0" borderId="0" xfId="0" applyNumberFormat="1" applyFont="1" applyFill="1" applyBorder="1" applyAlignment="1">
      <alignment horizontal="center" vertical="center"/>
    </xf>
    <xf numFmtId="180" fontId="29" fillId="0" borderId="0" xfId="0" applyNumberFormat="1" applyFont="1" applyFill="1" applyBorder="1" applyAlignment="1">
      <alignment horizontal="center" vertical="center"/>
    </xf>
    <xf numFmtId="3" fontId="29" fillId="0" borderId="0" xfId="61" applyNumberFormat="1" applyFont="1" applyFill="1" applyBorder="1" applyAlignment="1">
      <alignment horizontal="center" vertical="center"/>
    </xf>
    <xf numFmtId="0" fontId="5" fillId="0" borderId="0" xfId="0" applyFont="1" applyAlignment="1">
      <alignment horizontal="center" vertical="center" wrapText="1"/>
    </xf>
    <xf numFmtId="0" fontId="3" fillId="0" borderId="29" xfId="0" applyFont="1" applyBorder="1" applyAlignment="1">
      <alignment horizontal="left" vertical="center" wrapText="1"/>
    </xf>
    <xf numFmtId="0" fontId="10" fillId="0" borderId="30" xfId="0" applyFont="1" applyBorder="1" applyAlignment="1">
      <alignment horizontal="left" vertical="center" wrapText="1"/>
    </xf>
    <xf numFmtId="0" fontId="10" fillId="0" borderId="30" xfId="0" applyFont="1" applyFill="1" applyBorder="1" applyAlignment="1">
      <alignment horizontal="left" vertical="center" wrapText="1"/>
    </xf>
    <xf numFmtId="0" fontId="3" fillId="0" borderId="31" xfId="0" applyFont="1" applyBorder="1" applyAlignment="1">
      <alignment horizontal="left" vertical="center" wrapText="1"/>
    </xf>
    <xf numFmtId="14" fontId="3" fillId="0" borderId="12" xfId="0" applyNumberFormat="1" applyFont="1" applyBorder="1" applyAlignment="1">
      <alignment horizontal="left" vertical="center" wrapText="1"/>
    </xf>
    <xf numFmtId="14" fontId="3" fillId="0" borderId="12" xfId="0" applyNumberFormat="1" applyFont="1" applyFill="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wrapText="1"/>
    </xf>
    <xf numFmtId="0" fontId="3" fillId="0" borderId="33" xfId="0" applyFont="1" applyFill="1" applyBorder="1" applyAlignment="1">
      <alignment horizontal="left" wrapText="1"/>
    </xf>
    <xf numFmtId="0" fontId="3" fillId="0" borderId="34" xfId="0" applyFont="1" applyFill="1" applyBorder="1" applyAlignment="1">
      <alignment horizontal="justify" vertical="top" wrapText="1"/>
    </xf>
    <xf numFmtId="0" fontId="3" fillId="0" borderId="35" xfId="0" applyFont="1" applyBorder="1" applyAlignment="1">
      <alignment horizontal="justify" vertical="top" wrapText="1"/>
    </xf>
    <xf numFmtId="0" fontId="3" fillId="0" borderId="35" xfId="0" applyFont="1" applyFill="1" applyBorder="1" applyAlignment="1">
      <alignment horizontal="justify" vertical="top" wrapText="1"/>
    </xf>
    <xf numFmtId="0" fontId="3" fillId="0" borderId="3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9" xfId="0" applyFont="1" applyFill="1" applyBorder="1" applyAlignment="1">
      <alignment vertical="center" wrapText="1"/>
    </xf>
    <xf numFmtId="0" fontId="15" fillId="0" borderId="37"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3" xfId="0" applyFont="1" applyFill="1" applyBorder="1" applyAlignment="1">
      <alignment vertical="center" wrapText="1"/>
    </xf>
    <xf numFmtId="0" fontId="3" fillId="0" borderId="15" xfId="0" applyFont="1" applyFill="1" applyBorder="1" applyAlignment="1">
      <alignment vertical="center" wrapText="1"/>
    </xf>
    <xf numFmtId="0" fontId="3" fillId="0" borderId="19" xfId="0" applyFont="1" applyFill="1" applyBorder="1" applyAlignment="1">
      <alignment wrapText="1"/>
    </xf>
    <xf numFmtId="9" fontId="15" fillId="0" borderId="37" xfId="0" applyNumberFormat="1" applyFont="1" applyFill="1" applyBorder="1" applyAlignment="1">
      <alignment horizontal="left" vertical="center" wrapText="1"/>
    </xf>
    <xf numFmtId="0" fontId="3" fillId="0" borderId="0" xfId="0" applyFont="1" applyBorder="1" applyAlignment="1">
      <alignment vertical="center" wrapText="1"/>
    </xf>
    <xf numFmtId="0" fontId="2" fillId="0" borderId="0" xfId="53" applyFont="1" applyBorder="1" applyAlignment="1" applyProtection="1">
      <alignment vertical="center" wrapText="1"/>
      <protection/>
    </xf>
    <xf numFmtId="0" fontId="2" fillId="0" borderId="0" xfId="53" applyBorder="1" applyAlignment="1" applyProtection="1">
      <alignment horizontal="left" vertical="center" wrapText="1"/>
      <protection/>
    </xf>
    <xf numFmtId="0" fontId="2" fillId="0" borderId="0" xfId="53" applyFill="1" applyBorder="1" applyAlignment="1" applyProtection="1">
      <alignment vertical="center" wrapText="1"/>
      <protection/>
    </xf>
    <xf numFmtId="0" fontId="2" fillId="0" borderId="0" xfId="53" applyBorder="1" applyAlignment="1" applyProtection="1">
      <alignment vertical="center" wrapText="1"/>
      <protection/>
    </xf>
    <xf numFmtId="2" fontId="2" fillId="0" borderId="0" xfId="53" applyNumberFormat="1" applyBorder="1" applyAlignment="1" applyProtection="1">
      <alignment vertical="center" wrapText="1"/>
      <protection/>
    </xf>
    <xf numFmtId="0" fontId="34" fillId="0" borderId="0" xfId="0" applyFont="1" applyAlignment="1">
      <alignment horizontal="left" vertical="center" wrapText="1"/>
    </xf>
    <xf numFmtId="0" fontId="3" fillId="0" borderId="0" xfId="0" applyFont="1" applyBorder="1" applyAlignment="1">
      <alignment vertical="center" wrapText="1"/>
    </xf>
    <xf numFmtId="0" fontId="0" fillId="0" borderId="0" xfId="0" applyAlignment="1">
      <alignment vertical="center" wrapText="1"/>
    </xf>
    <xf numFmtId="0" fontId="3" fillId="0" borderId="0" xfId="0" applyFont="1" applyBorder="1" applyAlignment="1">
      <alignment horizontal="left" vertical="top" wrapText="1"/>
    </xf>
    <xf numFmtId="0" fontId="5" fillId="0" borderId="0" xfId="0" applyFont="1" applyAlignment="1">
      <alignment horizontal="center" vertical="center" wrapText="1"/>
    </xf>
    <xf numFmtId="0" fontId="3" fillId="0" borderId="38" xfId="0" applyFont="1" applyBorder="1" applyAlignment="1">
      <alignment horizontal="left" vertical="center" wrapText="1"/>
    </xf>
    <xf numFmtId="0" fontId="3" fillId="0" borderId="32" xfId="0" applyFont="1" applyBorder="1" applyAlignment="1">
      <alignment horizontal="left" vertical="center" wrapText="1"/>
    </xf>
    <xf numFmtId="0" fontId="3" fillId="0" borderId="39" xfId="0" applyFont="1" applyBorder="1" applyAlignment="1">
      <alignment horizontal="left" vertical="center" wrapText="1"/>
    </xf>
    <xf numFmtId="0" fontId="0" fillId="0" borderId="0" xfId="0" applyAlignment="1">
      <alignment horizontal="center" vertical="center" wrapText="1"/>
    </xf>
    <xf numFmtId="0" fontId="0" fillId="0" borderId="39" xfId="0" applyBorder="1" applyAlignment="1">
      <alignment horizontal="left" vertical="center" wrapText="1"/>
    </xf>
    <xf numFmtId="0" fontId="3" fillId="0" borderId="0" xfId="0" applyFont="1" applyBorder="1" applyAlignment="1">
      <alignment horizontal="left" vertical="center" wrapText="1"/>
    </xf>
    <xf numFmtId="0" fontId="3" fillId="0" borderId="0" xfId="57" applyFont="1" applyBorder="1" applyAlignment="1">
      <alignment wrapText="1"/>
      <protection/>
    </xf>
    <xf numFmtId="0" fontId="0" fillId="0" borderId="0" xfId="0" applyAlignment="1">
      <alignment wrapText="1"/>
    </xf>
    <xf numFmtId="0" fontId="3" fillId="0" borderId="0" xfId="57" applyNumberFormat="1" applyFont="1" applyBorder="1" applyAlignment="1">
      <alignment wrapText="1"/>
      <protection/>
    </xf>
    <xf numFmtId="0" fontId="3" fillId="0" borderId="0" xfId="0" applyFont="1" applyAlignment="1">
      <alignment horizontal="left" wrapText="1"/>
    </xf>
    <xf numFmtId="0" fontId="10" fillId="0" borderId="20" xfId="0" applyFont="1" applyBorder="1" applyAlignment="1">
      <alignment horizontal="left" vertical="center"/>
    </xf>
    <xf numFmtId="0" fontId="10" fillId="0" borderId="14" xfId="0" applyFont="1" applyBorder="1" applyAlignment="1">
      <alignment horizontal="left" vertical="center"/>
    </xf>
    <xf numFmtId="0" fontId="10" fillId="0" borderId="20" xfId="0" applyFont="1" applyBorder="1" applyAlignment="1">
      <alignment horizontal="center" vertical="center"/>
    </xf>
    <xf numFmtId="0" fontId="5" fillId="0" borderId="0" xfId="0" applyFont="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eederRoadAnalysis_IM_Clean - v4" xfId="57"/>
    <cellStyle name="Normal_FinStatRel8"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Undiscounted annual net benefits of Electrification Activity</a:t>
            </a:r>
          </a:p>
        </c:rich>
      </c:tx>
      <c:layout>
        <c:manualLayout>
          <c:xMode val="factor"/>
          <c:yMode val="factor"/>
          <c:x val="0.005"/>
          <c:y val="0"/>
        </c:manualLayout>
      </c:layout>
      <c:spPr>
        <a:noFill/>
        <a:ln>
          <a:noFill/>
        </a:ln>
      </c:spPr>
    </c:title>
    <c:plotArea>
      <c:layout>
        <c:manualLayout>
          <c:xMode val="edge"/>
          <c:yMode val="edge"/>
          <c:x val="0.0165"/>
          <c:y val="0.14475"/>
          <c:w val="0.967"/>
          <c:h val="0.764"/>
        </c:manualLayout>
      </c:layout>
      <c:areaChart>
        <c:grouping val="standard"/>
        <c:varyColors val="0"/>
        <c:ser>
          <c:idx val="0"/>
          <c:order val="0"/>
          <c:spPr>
            <a:solidFill>
              <a:srgbClr val="0066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val>
            <c:numRef>
              <c:f>'Cost Benefit Analysis'!$D$33:$W$33</c:f>
              <c:numCache>
                <c:ptCount val="20"/>
                <c:pt idx="0">
                  <c:v>-2067729.7422931246</c:v>
                </c:pt>
                <c:pt idx="1">
                  <c:v>22727.83660304593</c:v>
                </c:pt>
                <c:pt idx="2">
                  <c:v>100085.19375738152</c:v>
                </c:pt>
                <c:pt idx="3">
                  <c:v>189717.38267100987</c:v>
                </c:pt>
                <c:pt idx="4">
                  <c:v>293332.4380498412</c:v>
                </c:pt>
                <c:pt idx="5">
                  <c:v>412867.57899117935</c:v>
                </c:pt>
                <c:pt idx="6">
                  <c:v>550518.6272350545</c:v>
                </c:pt>
                <c:pt idx="7">
                  <c:v>708772.8774546178</c:v>
                </c:pt>
                <c:pt idx="8">
                  <c:v>890445.742558308</c:v>
                </c:pt>
                <c:pt idx="9">
                  <c:v>1047552.5076256169</c:v>
                </c:pt>
                <c:pt idx="10">
                  <c:v>1029379.735944113</c:v>
                </c:pt>
                <c:pt idx="11">
                  <c:v>1010843.5088289788</c:v>
                </c:pt>
                <c:pt idx="12">
                  <c:v>991936.557171542</c:v>
                </c:pt>
                <c:pt idx="13">
                  <c:v>972651.4664809564</c:v>
                </c:pt>
                <c:pt idx="14">
                  <c:v>952980.6739765592</c:v>
                </c:pt>
                <c:pt idx="15">
                  <c:v>932916.465622074</c:v>
                </c:pt>
                <c:pt idx="16">
                  <c:v>912450.9731004992</c:v>
                </c:pt>
                <c:pt idx="17">
                  <c:v>891576.1707284928</c:v>
                </c:pt>
                <c:pt idx="18">
                  <c:v>870283.8723090463</c:v>
                </c:pt>
                <c:pt idx="19">
                  <c:v>848565.7279212109</c:v>
                </c:pt>
              </c:numCache>
            </c:numRef>
          </c:val>
        </c:ser>
        <c:axId val="64709017"/>
        <c:axId val="45510242"/>
      </c:areaChart>
      <c:catAx>
        <c:axId val="64709017"/>
        <c:scaling>
          <c:orientation val="minMax"/>
        </c:scaling>
        <c:axPos val="b"/>
        <c:title>
          <c:tx>
            <c:rich>
              <a:bodyPr vert="horz" rot="0" anchor="ctr"/>
              <a:lstStyle/>
              <a:p>
                <a:pPr algn="ctr">
                  <a:defRPr/>
                </a:pPr>
                <a:r>
                  <a:rPr lang="en-US" cap="none" sz="1000" b="1" i="0" u="none" baseline="0">
                    <a:solidFill>
                      <a:srgbClr val="000000"/>
                    </a:solidFill>
                  </a:rPr>
                  <a:t>Year</a:t>
                </a:r>
              </a:p>
            </c:rich>
          </c:tx>
          <c:layout>
            <c:manualLayout>
              <c:xMode val="factor"/>
              <c:yMode val="factor"/>
              <c:x val="0.007"/>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5510242"/>
        <c:crosses val="autoZero"/>
        <c:auto val="1"/>
        <c:lblOffset val="100"/>
        <c:tickLblSkip val="1"/>
        <c:noMultiLvlLbl val="0"/>
      </c:catAx>
      <c:valAx>
        <c:axId val="4551024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709017"/>
        <c:crossesAt val="1"/>
        <c:crossBetween val="midCat"/>
        <c:dispUnits/>
      </c:valAx>
      <c:spPr>
        <a:solidFill>
          <a:srgbClr val="C0C0C0"/>
        </a:solidFill>
        <a:ln w="12700">
          <a:solidFill>
            <a:srgbClr val="80808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514350</xdr:colOff>
      <xdr:row>0</xdr:row>
      <xdr:rowOff>161925</xdr:rowOff>
    </xdr:from>
    <xdr:to>
      <xdr:col>1</xdr:col>
      <xdr:colOff>2590800</xdr:colOff>
      <xdr:row>5</xdr:row>
      <xdr:rowOff>38100</xdr:rowOff>
    </xdr:to>
    <xdr:pic>
      <xdr:nvPicPr>
        <xdr:cNvPr id="1" name="Picture 2"/>
        <xdr:cNvPicPr preferRelativeResize="1">
          <a:picLocks noChangeAspect="1"/>
        </xdr:cNvPicPr>
      </xdr:nvPicPr>
      <xdr:blipFill>
        <a:blip r:embed="rId1"/>
        <a:stretch>
          <a:fillRect/>
        </a:stretch>
      </xdr:blipFill>
      <xdr:spPr>
        <a:xfrm>
          <a:off x="514350" y="161925"/>
          <a:ext cx="2657475"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29</xdr:row>
      <xdr:rowOff>19050</xdr:rowOff>
    </xdr:from>
    <xdr:to>
      <xdr:col>1</xdr:col>
      <xdr:colOff>2181225</xdr:colOff>
      <xdr:row>30</xdr:row>
      <xdr:rowOff>9525</xdr:rowOff>
    </xdr:to>
    <xdr:pic>
      <xdr:nvPicPr>
        <xdr:cNvPr id="1" name="Picture 1" descr="MCC horizontal"/>
        <xdr:cNvPicPr preferRelativeResize="1">
          <a:picLocks noChangeAspect="1"/>
        </xdr:cNvPicPr>
      </xdr:nvPicPr>
      <xdr:blipFill>
        <a:blip r:embed="rId1"/>
        <a:stretch>
          <a:fillRect/>
        </a:stretch>
      </xdr:blipFill>
      <xdr:spPr>
        <a:xfrm>
          <a:off x="447675" y="11172825"/>
          <a:ext cx="2171700"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628650</xdr:colOff>
      <xdr:row>0</xdr:row>
      <xdr:rowOff>152400</xdr:rowOff>
    </xdr:from>
    <xdr:to>
      <xdr:col>6</xdr:col>
      <xdr:colOff>933450</xdr:colOff>
      <xdr:row>1</xdr:row>
      <xdr:rowOff>85725</xdr:rowOff>
    </xdr:to>
    <xdr:pic>
      <xdr:nvPicPr>
        <xdr:cNvPr id="1" name="Picture 1" descr="MCC horizontal"/>
        <xdr:cNvPicPr preferRelativeResize="1">
          <a:picLocks noChangeAspect="1"/>
        </xdr:cNvPicPr>
      </xdr:nvPicPr>
      <xdr:blipFill>
        <a:blip r:embed="rId1"/>
        <a:stretch>
          <a:fillRect/>
        </a:stretch>
      </xdr:blipFill>
      <xdr:spPr>
        <a:xfrm>
          <a:off x="6267450" y="152400"/>
          <a:ext cx="2162175" cy="190500"/>
        </a:xfrm>
        <a:prstGeom prst="rect">
          <a:avLst/>
        </a:prstGeom>
        <a:noFill/>
        <a:ln w="9525" cmpd="sng">
          <a:noFill/>
        </a:ln>
      </xdr:spPr>
    </xdr:pic>
    <xdr:clientData/>
  </xdr:twoCellAnchor>
  <xdr:twoCellAnchor>
    <xdr:from>
      <xdr:col>1</xdr:col>
      <xdr:colOff>1038225</xdr:colOff>
      <xdr:row>16</xdr:row>
      <xdr:rowOff>104775</xdr:rowOff>
    </xdr:from>
    <xdr:to>
      <xdr:col>5</xdr:col>
      <xdr:colOff>762000</xdr:colOff>
      <xdr:row>39</xdr:row>
      <xdr:rowOff>0</xdr:rowOff>
    </xdr:to>
    <xdr:graphicFrame>
      <xdr:nvGraphicFramePr>
        <xdr:cNvPr id="2" name="Chart 4"/>
        <xdr:cNvGraphicFramePr/>
      </xdr:nvGraphicFramePr>
      <xdr:xfrm>
        <a:off x="1419225" y="4800600"/>
        <a:ext cx="5876925" cy="44958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_divisions\Economic%20Analysis\ERR%20Spreadsheets\Web%20Dissemination\Ongoing%20Work\Georgia\Georgia%20Pipeline%20-%20v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ser's Guide"/>
      <sheetName val="Activity Description"/>
      <sheetName val="ERR &amp; Sensitivity Analysis"/>
      <sheetName val="ERR Pipeline"/>
      <sheetName val="Cost Assumptions"/>
      <sheetName val="Demand"/>
      <sheetName val="Transit"/>
      <sheetName val="IRR-high"/>
      <sheetName val="IRR-medium"/>
      <sheetName val="IRR-low"/>
      <sheetName val="IRR-low (2)"/>
      <sheetName val="IRR-sensitivities"/>
      <sheetName val="Financial Impact"/>
      <sheetName val="Georgia Pipeline - v3"/>
    </sheetNames>
    <sheetDataSet>
      <sheetData sheetId="4">
        <row r="22">
          <cell r="C22" t="str">
            <v>Low</v>
          </cell>
          <cell r="D22" t="str">
            <v>Medium</v>
          </cell>
          <cell r="E22" t="str">
            <v>High</v>
          </cell>
        </row>
        <row r="32">
          <cell r="H32">
            <v>24926449.275362317</v>
          </cell>
          <cell r="I32">
            <v>19573550.724637683</v>
          </cell>
        </row>
        <row r="40">
          <cell r="G40">
            <v>2122416</v>
          </cell>
          <cell r="H40">
            <v>2164864.32</v>
          </cell>
          <cell r="I40">
            <v>2208161.6064</v>
          </cell>
          <cell r="J40">
            <v>2252324.838528</v>
          </cell>
          <cell r="K40">
            <v>2297371.3352985596</v>
          </cell>
          <cell r="L40">
            <v>2343318.762004531</v>
          </cell>
          <cell r="M40">
            <v>2390185.1372446218</v>
          </cell>
          <cell r="N40">
            <v>2437988.839989514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7"/>
  <dimension ref="A1:D42"/>
  <sheetViews>
    <sheetView showGridLines="0" tabSelected="1" zoomScale="85" zoomScaleNormal="85" zoomScalePageLayoutView="0" workbookViewId="0" topLeftCell="A4">
      <selection activeCell="D12" sqref="D12"/>
    </sheetView>
  </sheetViews>
  <sheetFormatPr defaultColWidth="9.00390625" defaultRowHeight="15.75"/>
  <cols>
    <col min="1" max="1" width="7.625" style="8" customWidth="1"/>
    <col min="2" max="2" width="36.625" style="8" customWidth="1"/>
    <col min="3" max="4" width="54.625" style="8" customWidth="1"/>
    <col min="5" max="16384" width="9.00390625" style="8" customWidth="1"/>
  </cols>
  <sheetData>
    <row r="1" ht="12.75">
      <c r="D1" s="9" t="s">
        <v>162</v>
      </c>
    </row>
    <row r="2" spans="2:4" ht="20.25" customHeight="1">
      <c r="B2" s="239"/>
      <c r="C2" s="239" t="s">
        <v>151</v>
      </c>
      <c r="D2" s="237"/>
    </row>
    <row r="3" spans="2:4" ht="12.75">
      <c r="B3" s="239"/>
      <c r="C3" s="237"/>
      <c r="D3" s="237"/>
    </row>
    <row r="4" spans="2:3" ht="20.25">
      <c r="B4" s="239"/>
      <c r="C4" s="207"/>
    </row>
    <row r="5" spans="2:4" ht="20.25">
      <c r="B5" s="239"/>
      <c r="C5" s="239" t="s">
        <v>156</v>
      </c>
      <c r="D5" s="243"/>
    </row>
    <row r="6" spans="2:3" ht="20.25">
      <c r="B6" s="239"/>
      <c r="C6" s="207"/>
    </row>
    <row r="7" spans="2:3" ht="21" thickBot="1">
      <c r="B7" s="239"/>
      <c r="C7" s="207"/>
    </row>
    <row r="8" spans="2:4" ht="14.25" thickBot="1" thickTop="1">
      <c r="B8" s="208"/>
      <c r="C8" s="209" t="s">
        <v>152</v>
      </c>
      <c r="D8" s="210" t="s">
        <v>153</v>
      </c>
    </row>
    <row r="9" spans="2:4" ht="13.5" thickTop="1">
      <c r="B9" s="211" t="s">
        <v>78</v>
      </c>
      <c r="C9" s="212">
        <v>38890</v>
      </c>
      <c r="D9" s="213">
        <v>41761</v>
      </c>
    </row>
    <row r="10" spans="2:4" ht="25.5" customHeight="1">
      <c r="B10" s="214" t="s">
        <v>79</v>
      </c>
      <c r="C10" s="224" t="s">
        <v>144</v>
      </c>
      <c r="D10" s="224" t="s">
        <v>160</v>
      </c>
    </row>
    <row r="11" spans="2:4" ht="12.75">
      <c r="B11" s="240" t="s">
        <v>154</v>
      </c>
      <c r="C11" s="215"/>
      <c r="D11" s="216"/>
    </row>
    <row r="12" spans="2:4" ht="76.5">
      <c r="B12" s="241"/>
      <c r="C12" s="11" t="s">
        <v>80</v>
      </c>
      <c r="D12" s="217" t="s">
        <v>163</v>
      </c>
    </row>
    <row r="13" spans="2:4" ht="12.75">
      <c r="B13" s="242"/>
      <c r="C13" s="218"/>
      <c r="D13" s="219"/>
    </row>
    <row r="14" spans="2:4" ht="25.5">
      <c r="B14" s="214" t="s">
        <v>81</v>
      </c>
      <c r="C14" s="10" t="s">
        <v>143</v>
      </c>
      <c r="D14" s="225" t="s">
        <v>160</v>
      </c>
    </row>
    <row r="15" spans="2:4" ht="12.75">
      <c r="B15" s="240" t="s">
        <v>155</v>
      </c>
      <c r="C15" s="221" t="s">
        <v>158</v>
      </c>
      <c r="D15" s="226" t="s">
        <v>160</v>
      </c>
    </row>
    <row r="16" spans="2:4" ht="12.75">
      <c r="B16" s="244"/>
      <c r="C16" s="222" t="s">
        <v>159</v>
      </c>
      <c r="D16" s="227"/>
    </row>
    <row r="17" spans="2:4" ht="13.5" thickBot="1">
      <c r="B17" s="220" t="s">
        <v>82</v>
      </c>
      <c r="C17" s="223" t="s">
        <v>157</v>
      </c>
      <c r="D17" s="228" t="s">
        <v>160</v>
      </c>
    </row>
    <row r="18" ht="21" thickTop="1">
      <c r="B18" s="207"/>
    </row>
    <row r="19" ht="15">
      <c r="B19" s="235" t="s">
        <v>161</v>
      </c>
    </row>
    <row r="20" spans="1:2" ht="6.75" customHeight="1">
      <c r="A20" s="229"/>
      <c r="B20" s="229"/>
    </row>
    <row r="21" spans="1:2" ht="12.75">
      <c r="A21" s="229"/>
      <c r="B21" s="230" t="s">
        <v>83</v>
      </c>
    </row>
    <row r="22" spans="1:4" ht="15.75">
      <c r="A22" s="238"/>
      <c r="B22" s="245" t="s">
        <v>84</v>
      </c>
      <c r="C22" s="237"/>
      <c r="D22" s="237"/>
    </row>
    <row r="23" spans="1:2" ht="12.75">
      <c r="A23" s="238"/>
      <c r="B23" s="15"/>
    </row>
    <row r="24" spans="1:2" ht="12.75">
      <c r="A24" s="238"/>
      <c r="B24" s="231" t="s">
        <v>107</v>
      </c>
    </row>
    <row r="25" spans="1:4" ht="15.75">
      <c r="A25" s="238"/>
      <c r="B25" s="246" t="s">
        <v>145</v>
      </c>
      <c r="C25" s="247"/>
      <c r="D25" s="247"/>
    </row>
    <row r="26" spans="1:2" ht="12.75" customHeight="1">
      <c r="A26" s="238"/>
      <c r="B26" s="229"/>
    </row>
    <row r="27" spans="1:2" ht="12.75" customHeight="1">
      <c r="A27" s="238"/>
      <c r="B27" s="232" t="s">
        <v>88</v>
      </c>
    </row>
    <row r="28" spans="1:4" ht="15.75">
      <c r="A28" s="238"/>
      <c r="B28" s="248" t="s">
        <v>146</v>
      </c>
      <c r="C28" s="247"/>
      <c r="D28" s="247"/>
    </row>
    <row r="29" spans="1:2" ht="12.75" customHeight="1">
      <c r="A29" s="238"/>
      <c r="B29" s="229"/>
    </row>
    <row r="30" spans="1:2" ht="12.75" customHeight="1">
      <c r="A30" s="238"/>
      <c r="B30" s="233" t="s">
        <v>87</v>
      </c>
    </row>
    <row r="31" spans="1:4" ht="12.75" customHeight="1">
      <c r="A31" s="238"/>
      <c r="B31" s="236" t="s">
        <v>148</v>
      </c>
      <c r="C31" s="237"/>
      <c r="D31" s="237"/>
    </row>
    <row r="32" spans="1:2" ht="12.75" customHeight="1">
      <c r="A32" s="238"/>
      <c r="B32" s="229"/>
    </row>
    <row r="33" spans="1:2" ht="12.75" customHeight="1">
      <c r="A33" s="238"/>
      <c r="B33" s="234" t="s">
        <v>86</v>
      </c>
    </row>
    <row r="34" spans="1:4" ht="12.75" customHeight="1">
      <c r="A34" s="238"/>
      <c r="B34" s="236" t="s">
        <v>147</v>
      </c>
      <c r="C34" s="237"/>
      <c r="D34" s="237"/>
    </row>
    <row r="35" spans="1:2" ht="12.75" customHeight="1">
      <c r="A35" s="238"/>
      <c r="B35" s="229"/>
    </row>
    <row r="36" spans="1:2" ht="12.75" customHeight="1">
      <c r="A36" s="238"/>
      <c r="B36" s="234" t="s">
        <v>103</v>
      </c>
    </row>
    <row r="37" spans="1:4" ht="12.75" customHeight="1">
      <c r="A37" s="238"/>
      <c r="B37" s="236" t="s">
        <v>149</v>
      </c>
      <c r="C37" s="237"/>
      <c r="D37" s="237"/>
    </row>
    <row r="38" spans="1:2" ht="12.75" customHeight="1">
      <c r="A38" s="238"/>
      <c r="B38" s="229"/>
    </row>
    <row r="39" spans="1:2" ht="12.75" customHeight="1">
      <c r="A39" s="238"/>
      <c r="B39" s="234" t="s">
        <v>104</v>
      </c>
    </row>
    <row r="40" spans="1:4" ht="12.75" customHeight="1">
      <c r="A40" s="238"/>
      <c r="B40" s="236" t="s">
        <v>150</v>
      </c>
      <c r="C40" s="237"/>
      <c r="D40" s="237"/>
    </row>
    <row r="41" spans="1:2" ht="12.75" customHeight="1">
      <c r="A41" s="238"/>
      <c r="B41" s="229"/>
    </row>
    <row r="42" spans="1:2" ht="6.75" customHeight="1">
      <c r="A42" s="238"/>
      <c r="B42" s="229"/>
    </row>
  </sheetData>
  <sheetProtection/>
  <mergeCells count="13">
    <mergeCell ref="B25:D25"/>
    <mergeCell ref="B28:D28"/>
    <mergeCell ref="B31:D31"/>
    <mergeCell ref="B34:D34"/>
    <mergeCell ref="B37:D37"/>
    <mergeCell ref="B40:D40"/>
    <mergeCell ref="A22:A42"/>
    <mergeCell ref="B2:B7"/>
    <mergeCell ref="B11:B13"/>
    <mergeCell ref="C2:D3"/>
    <mergeCell ref="C5:D5"/>
    <mergeCell ref="B15:B16"/>
    <mergeCell ref="B22:D22"/>
  </mergeCells>
  <hyperlinks>
    <hyperlink ref="B21" location="'Activity Description'!A1" display="Activity Description"/>
    <hyperlink ref="B27" location="'Cost Benefit Analysis'!A1" display="Cost Benefit Analysis"/>
    <hyperlink ref="B33" location="Projects!A1" display="Projects"/>
    <hyperlink ref="B36" location="Demand!A1" display="Demand"/>
    <hyperlink ref="B39" location="'Income Creation'!A1" display="Income Creation"/>
    <hyperlink ref="B24" location="'ERR &amp; Sensitivity Analysis'!A1" display="ERR &amp; Sensitivity Analysis"/>
    <hyperlink ref="B30" location="Assumptions!A1" display="Assumptions"/>
  </hyperlink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8"/>
  <dimension ref="B2:B30"/>
  <sheetViews>
    <sheetView showGridLines="0" zoomScalePageLayoutView="0" workbookViewId="0" topLeftCell="A7">
      <selection activeCell="A1" sqref="A1"/>
    </sheetView>
  </sheetViews>
  <sheetFormatPr defaultColWidth="9.00390625" defaultRowHeight="12.75" customHeight="1"/>
  <cols>
    <col min="1" max="1" width="5.625" style="13" customWidth="1"/>
    <col min="2" max="2" width="106.375" style="13" customWidth="1"/>
    <col min="3" max="16384" width="9.00390625" style="13" customWidth="1"/>
  </cols>
  <sheetData>
    <row r="2" ht="20.25">
      <c r="B2" s="12" t="s">
        <v>151</v>
      </c>
    </row>
    <row r="3" ht="20.25">
      <c r="B3" s="12" t="s">
        <v>156</v>
      </c>
    </row>
    <row r="5" ht="12.75" customHeight="1">
      <c r="B5" s="14" t="s">
        <v>85</v>
      </c>
    </row>
    <row r="6" ht="6.75" customHeight="1"/>
    <row r="7" ht="102">
      <c r="B7" s="15" t="s">
        <v>89</v>
      </c>
    </row>
    <row r="9" ht="38.25">
      <c r="B9" s="13" t="s">
        <v>90</v>
      </c>
    </row>
    <row r="10" ht="6.75" customHeight="1"/>
    <row r="11" ht="27.75" customHeight="1">
      <c r="B11" s="8" t="s">
        <v>91</v>
      </c>
    </row>
    <row r="12" ht="12.75" customHeight="1">
      <c r="B12" s="8" t="s">
        <v>92</v>
      </c>
    </row>
    <row r="13" ht="25.5">
      <c r="B13" s="8" t="s">
        <v>93</v>
      </c>
    </row>
    <row r="14" ht="12.75" customHeight="1">
      <c r="B14" s="8" t="s">
        <v>94</v>
      </c>
    </row>
    <row r="15" ht="12.75" customHeight="1">
      <c r="B15" s="8" t="s">
        <v>95</v>
      </c>
    </row>
    <row r="16" ht="12.75" customHeight="1">
      <c r="B16" s="8" t="s">
        <v>96</v>
      </c>
    </row>
    <row r="18" ht="12.75" customHeight="1">
      <c r="B18" s="14" t="s">
        <v>97</v>
      </c>
    </row>
    <row r="19" ht="6.75" customHeight="1"/>
    <row r="20" ht="102.75" customHeight="1">
      <c r="B20" s="54" t="s">
        <v>128</v>
      </c>
    </row>
    <row r="21" ht="63.75">
      <c r="B21" s="13" t="s">
        <v>105</v>
      </c>
    </row>
    <row r="22" ht="51">
      <c r="B22" s="13" t="s">
        <v>106</v>
      </c>
    </row>
    <row r="23" ht="38.25">
      <c r="B23" s="13" t="s">
        <v>101</v>
      </c>
    </row>
    <row r="24" ht="114.75">
      <c r="B24" s="13" t="s">
        <v>102</v>
      </c>
    </row>
    <row r="27" ht="75" customHeight="1">
      <c r="B27" s="16" t="s">
        <v>98</v>
      </c>
    </row>
    <row r="30" ht="12.75" customHeight="1">
      <c r="B30" s="23" t="s">
        <v>76</v>
      </c>
    </row>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11"/>
  <dimension ref="B1:I15"/>
  <sheetViews>
    <sheetView zoomScalePageLayoutView="0" workbookViewId="0" topLeftCell="A1">
      <selection activeCell="A1" sqref="A1"/>
    </sheetView>
  </sheetViews>
  <sheetFormatPr defaultColWidth="9.00390625" defaultRowHeight="15.75"/>
  <cols>
    <col min="1" max="1" width="5.00390625" style="17" customWidth="1"/>
    <col min="2" max="2" width="15.75390625" style="17" bestFit="1" customWidth="1"/>
    <col min="3" max="3" width="41.50390625" style="17" customWidth="1"/>
    <col min="4" max="5" width="11.75390625" style="17" customWidth="1"/>
    <col min="6" max="6" width="12.625" style="17" customWidth="1"/>
    <col min="7" max="7" width="12.375" style="17" customWidth="1"/>
    <col min="8" max="8" width="5.00390625" style="17" customWidth="1"/>
    <col min="9" max="9" width="16.875" style="17" customWidth="1"/>
    <col min="10" max="16384" width="9.00390625" style="17" customWidth="1"/>
  </cols>
  <sheetData>
    <row r="1" spans="2:4" ht="20.25">
      <c r="B1" s="253" t="s">
        <v>151</v>
      </c>
      <c r="C1" s="247"/>
      <c r="D1" s="247"/>
    </row>
    <row r="2" spans="2:4" ht="20.25">
      <c r="B2" s="253" t="s">
        <v>156</v>
      </c>
      <c r="C2" s="247"/>
      <c r="D2" s="247"/>
    </row>
    <row r="3" spans="2:7" ht="18">
      <c r="B3" s="25" t="s">
        <v>108</v>
      </c>
      <c r="G3" s="26" t="s">
        <v>76</v>
      </c>
    </row>
    <row r="5" spans="2:7" ht="39" customHeight="1">
      <c r="B5" s="249" t="s">
        <v>125</v>
      </c>
      <c r="C5" s="249"/>
      <c r="D5" s="249"/>
      <c r="E5" s="249"/>
      <c r="F5" s="249"/>
      <c r="G5" s="249"/>
    </row>
    <row r="7" spans="2:7" ht="12.75">
      <c r="B7" s="250" t="s">
        <v>113</v>
      </c>
      <c r="C7" s="250" t="s">
        <v>109</v>
      </c>
      <c r="D7" s="252" t="s">
        <v>110</v>
      </c>
      <c r="E7" s="252"/>
      <c r="F7" s="252"/>
      <c r="G7" s="252"/>
    </row>
    <row r="8" spans="2:9" ht="39" thickBot="1">
      <c r="B8" s="251"/>
      <c r="C8" s="251"/>
      <c r="D8" s="27" t="s">
        <v>114</v>
      </c>
      <c r="E8" s="28" t="s">
        <v>115</v>
      </c>
      <c r="F8" s="28" t="s">
        <v>116</v>
      </c>
      <c r="G8" s="28" t="s">
        <v>111</v>
      </c>
      <c r="I8" s="29" t="s">
        <v>120</v>
      </c>
    </row>
    <row r="9" spans="2:9" ht="33" customHeight="1">
      <c r="B9" s="30" t="s">
        <v>85</v>
      </c>
      <c r="C9" s="31" t="s">
        <v>117</v>
      </c>
      <c r="D9" s="32">
        <v>1</v>
      </c>
      <c r="E9" s="33">
        <v>1</v>
      </c>
      <c r="F9" s="34" t="s">
        <v>118</v>
      </c>
      <c r="G9" s="35">
        <f>D9</f>
        <v>1</v>
      </c>
      <c r="I9" s="36" t="str">
        <f>IF(D9=E9,IF(D10=E10,"Y","N"),"N")</f>
        <v>Y</v>
      </c>
    </row>
    <row r="10" spans="2:9" ht="33" customHeight="1">
      <c r="B10" s="37" t="s">
        <v>85</v>
      </c>
      <c r="C10" s="31" t="s">
        <v>119</v>
      </c>
      <c r="D10" s="32">
        <v>1</v>
      </c>
      <c r="E10" s="33">
        <v>1</v>
      </c>
      <c r="F10" s="34" t="s">
        <v>118</v>
      </c>
      <c r="G10" s="35">
        <f>D10</f>
        <v>1</v>
      </c>
      <c r="I10" s="38"/>
    </row>
    <row r="11" spans="2:7" ht="12.75">
      <c r="B11" s="45"/>
      <c r="C11" s="45"/>
      <c r="D11" s="46"/>
      <c r="E11" s="47"/>
      <c r="F11" s="47"/>
      <c r="G11" s="47"/>
    </row>
    <row r="12" spans="2:9" ht="15.75" customHeight="1">
      <c r="B12" s="48"/>
      <c r="E12" s="43"/>
      <c r="F12" s="43"/>
      <c r="G12" s="43"/>
      <c r="I12" s="39" t="s">
        <v>121</v>
      </c>
    </row>
    <row r="13" spans="3:9" ht="33" customHeight="1">
      <c r="C13" s="49" t="s">
        <v>112</v>
      </c>
      <c r="D13" s="50">
        <f>'Cost Benefit Analysis'!D35</f>
        <v>0.20121688761484813</v>
      </c>
      <c r="E13" s="51"/>
      <c r="F13" s="42"/>
      <c r="G13" s="42"/>
      <c r="I13" s="40" t="s">
        <v>126</v>
      </c>
    </row>
    <row r="14" spans="3:9" ht="33" customHeight="1">
      <c r="C14" s="52" t="s">
        <v>124</v>
      </c>
      <c r="D14" s="53">
        <v>0.201</v>
      </c>
      <c r="E14" s="51"/>
      <c r="F14" s="42"/>
      <c r="G14" s="42"/>
      <c r="I14" s="41" t="s">
        <v>127</v>
      </c>
    </row>
    <row r="15" ht="12.75">
      <c r="E15" s="44"/>
    </row>
  </sheetData>
  <sheetProtection/>
  <mergeCells count="6">
    <mergeCell ref="B5:G5"/>
    <mergeCell ref="B7:B8"/>
    <mergeCell ref="C7:C8"/>
    <mergeCell ref="D7:G7"/>
    <mergeCell ref="B1:D1"/>
    <mergeCell ref="B2:D2"/>
  </mergeCells>
  <hyperlinks>
    <hyperlink ref="I14" location="'User''s Guide'!A1" display="User's Guide"/>
    <hyperlink ref="I13" location="'Activity Description'!A1" display="   Activity Description"/>
  </hyperlinks>
  <printOptions/>
  <pageMargins left="0.75" right="0.75" top="1" bottom="1" header="0.5" footer="0.5"/>
  <pageSetup orientation="portrait" paperSize="9"/>
  <drawing r:id="rId2"/>
  <legacyDrawing r:id="rId1"/>
</worksheet>
</file>

<file path=xl/worksheets/sheet4.xml><?xml version="1.0" encoding="utf-8"?>
<worksheet xmlns="http://schemas.openxmlformats.org/spreadsheetml/2006/main" xmlns:r="http://schemas.openxmlformats.org/officeDocument/2006/relationships">
  <sheetPr codeName="Sheet21">
    <pageSetUpPr fitToPage="1"/>
  </sheetPr>
  <dimension ref="A1:CV71"/>
  <sheetViews>
    <sheetView zoomScale="90" zoomScaleNormal="90" zoomScalePageLayoutView="0" workbookViewId="0" topLeftCell="A1">
      <selection activeCell="D24" sqref="D24"/>
    </sheetView>
  </sheetViews>
  <sheetFormatPr defaultColWidth="9.00390625" defaultRowHeight="15.75"/>
  <cols>
    <col min="1" max="1" width="9.00390625" style="55" customWidth="1"/>
    <col min="2" max="2" width="7.375" style="166" customWidth="1"/>
    <col min="3" max="3" width="27.75390625" style="17" customWidth="1"/>
    <col min="4" max="23" width="17.00390625" style="17" customWidth="1"/>
    <col min="24" max="25" width="9.00390625" style="17" customWidth="1"/>
    <col min="26" max="26" width="15.75390625" style="18" customWidth="1"/>
    <col min="27" max="27" width="11.00390625" style="18" customWidth="1"/>
    <col min="28" max="62" width="11.00390625" style="17" customWidth="1"/>
    <col min="63" max="16384" width="9.00390625" style="17" customWidth="1"/>
  </cols>
  <sheetData>
    <row r="1" spans="1:27" s="4" customFormat="1" ht="30">
      <c r="A1" s="1"/>
      <c r="B1" s="69" t="s">
        <v>129</v>
      </c>
      <c r="C1" s="57"/>
      <c r="D1" s="57"/>
      <c r="E1" s="57"/>
      <c r="F1" s="57"/>
      <c r="G1" s="57"/>
      <c r="H1" s="57"/>
      <c r="I1" s="57"/>
      <c r="J1" s="57"/>
      <c r="K1" s="57"/>
      <c r="L1" s="57"/>
      <c r="M1" s="57"/>
      <c r="N1" s="57"/>
      <c r="O1" s="57"/>
      <c r="P1" s="57"/>
      <c r="Q1" s="57"/>
      <c r="R1" s="57"/>
      <c r="S1" s="57"/>
      <c r="T1" s="57"/>
      <c r="U1" s="57"/>
      <c r="V1" s="57"/>
      <c r="W1" s="57"/>
      <c r="X1" s="3"/>
      <c r="Z1" s="5"/>
      <c r="AA1" s="5"/>
    </row>
    <row r="2" spans="1:27" s="4" customFormat="1" ht="30">
      <c r="A2" s="1"/>
      <c r="B2" s="69" t="s">
        <v>130</v>
      </c>
      <c r="C2" s="2"/>
      <c r="D2" s="2"/>
      <c r="E2" s="2"/>
      <c r="F2" s="2"/>
      <c r="G2" s="2"/>
      <c r="H2" s="2"/>
      <c r="I2" s="2"/>
      <c r="J2" s="2"/>
      <c r="K2" s="2"/>
      <c r="L2" s="2"/>
      <c r="M2" s="2"/>
      <c r="N2" s="2"/>
      <c r="O2" s="2"/>
      <c r="P2" s="2"/>
      <c r="Q2" s="2"/>
      <c r="R2" s="2"/>
      <c r="S2" s="2"/>
      <c r="T2" s="2"/>
      <c r="U2" s="2"/>
      <c r="V2" s="2"/>
      <c r="W2" s="2"/>
      <c r="X2" s="3"/>
      <c r="Z2" s="5"/>
      <c r="AA2" s="5"/>
    </row>
    <row r="3" spans="1:27" s="61" customFormat="1" ht="20.25">
      <c r="A3" s="58"/>
      <c r="B3" s="6"/>
      <c r="C3" s="59"/>
      <c r="D3" s="59"/>
      <c r="E3" s="59"/>
      <c r="F3" s="59"/>
      <c r="G3" s="59"/>
      <c r="H3" s="59"/>
      <c r="I3" s="59"/>
      <c r="J3" s="59"/>
      <c r="K3" s="59"/>
      <c r="L3" s="59"/>
      <c r="M3" s="59"/>
      <c r="N3" s="59"/>
      <c r="O3" s="59"/>
      <c r="P3" s="59"/>
      <c r="Q3" s="59"/>
      <c r="R3" s="59"/>
      <c r="S3" s="59"/>
      <c r="T3" s="59"/>
      <c r="U3" s="59"/>
      <c r="V3" s="59"/>
      <c r="W3" s="59"/>
      <c r="X3" s="60"/>
      <c r="Z3" s="62"/>
      <c r="AA3" s="62"/>
    </row>
    <row r="4" spans="1:78" s="151" customFormat="1" ht="15.75">
      <c r="A4" s="64"/>
      <c r="B4" s="148" t="s">
        <v>141</v>
      </c>
      <c r="C4" s="148"/>
      <c r="D4" s="149">
        <v>1</v>
      </c>
      <c r="E4" s="149">
        <v>2</v>
      </c>
      <c r="F4" s="149">
        <f>+E4+1</f>
        <v>3</v>
      </c>
      <c r="G4" s="149">
        <f>+F4+1</f>
        <v>4</v>
      </c>
      <c r="H4" s="149">
        <f>+G4+1</f>
        <v>5</v>
      </c>
      <c r="I4" s="149">
        <f>+H4+1</f>
        <v>6</v>
      </c>
      <c r="J4" s="149">
        <f aca="true" t="shared" si="0" ref="J4:W4">+I4+1</f>
        <v>7</v>
      </c>
      <c r="K4" s="149">
        <f t="shared" si="0"/>
        <v>8</v>
      </c>
      <c r="L4" s="149">
        <f t="shared" si="0"/>
        <v>9</v>
      </c>
      <c r="M4" s="149">
        <f t="shared" si="0"/>
        <v>10</v>
      </c>
      <c r="N4" s="149">
        <f t="shared" si="0"/>
        <v>11</v>
      </c>
      <c r="O4" s="149">
        <f t="shared" si="0"/>
        <v>12</v>
      </c>
      <c r="P4" s="149">
        <f t="shared" si="0"/>
        <v>13</v>
      </c>
      <c r="Q4" s="149">
        <f t="shared" si="0"/>
        <v>14</v>
      </c>
      <c r="R4" s="149">
        <f t="shared" si="0"/>
        <v>15</v>
      </c>
      <c r="S4" s="149">
        <f t="shared" si="0"/>
        <v>16</v>
      </c>
      <c r="T4" s="149">
        <f t="shared" si="0"/>
        <v>17</v>
      </c>
      <c r="U4" s="149">
        <f t="shared" si="0"/>
        <v>18</v>
      </c>
      <c r="V4" s="149">
        <f t="shared" si="0"/>
        <v>19</v>
      </c>
      <c r="W4" s="149">
        <f t="shared" si="0"/>
        <v>20</v>
      </c>
      <c r="X4" s="150"/>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row>
    <row r="5" spans="1:27" s="151" customFormat="1" ht="15.75">
      <c r="A5" s="64"/>
      <c r="B5" s="148"/>
      <c r="C5" s="148"/>
      <c r="D5" s="149"/>
      <c r="E5" s="149"/>
      <c r="F5" s="149"/>
      <c r="G5" s="149"/>
      <c r="H5" s="149"/>
      <c r="I5" s="149"/>
      <c r="J5" s="149"/>
      <c r="K5" s="149"/>
      <c r="L5" s="149"/>
      <c r="M5" s="149"/>
      <c r="N5" s="149"/>
      <c r="O5" s="149"/>
      <c r="P5" s="149"/>
      <c r="Q5" s="149"/>
      <c r="R5" s="149"/>
      <c r="S5" s="149"/>
      <c r="T5" s="149"/>
      <c r="U5" s="149"/>
      <c r="V5" s="149"/>
      <c r="W5" s="149"/>
      <c r="X5" s="150"/>
      <c r="Z5" s="153"/>
      <c r="AA5" s="153"/>
    </row>
    <row r="6" spans="1:27" s="151" customFormat="1" ht="15.75">
      <c r="A6" s="64"/>
      <c r="B6" s="154" t="s">
        <v>25</v>
      </c>
      <c r="C6" s="148"/>
      <c r="D6" s="149"/>
      <c r="E6" s="149"/>
      <c r="F6" s="149"/>
      <c r="G6" s="149"/>
      <c r="H6" s="149"/>
      <c r="I6" s="149"/>
      <c r="J6" s="149"/>
      <c r="K6" s="149"/>
      <c r="L6" s="149"/>
      <c r="M6" s="149"/>
      <c r="N6" s="149"/>
      <c r="O6" s="149"/>
      <c r="P6" s="149"/>
      <c r="Q6" s="149"/>
      <c r="R6" s="149"/>
      <c r="S6" s="149"/>
      <c r="T6" s="149"/>
      <c r="U6" s="149"/>
      <c r="V6" s="149"/>
      <c r="W6" s="149"/>
      <c r="X6" s="150"/>
      <c r="Z6" s="153"/>
      <c r="AA6" s="153"/>
    </row>
    <row r="7" spans="1:27" s="159" customFormat="1" ht="15.75">
      <c r="A7" s="65"/>
      <c r="B7" s="155"/>
      <c r="C7" s="156"/>
      <c r="D7" s="157"/>
      <c r="E7" s="157"/>
      <c r="F7" s="157"/>
      <c r="G7" s="157"/>
      <c r="H7" s="157"/>
      <c r="I7" s="157"/>
      <c r="J7" s="157"/>
      <c r="K7" s="157"/>
      <c r="L7" s="157"/>
      <c r="M7" s="157"/>
      <c r="N7" s="157"/>
      <c r="O7" s="157"/>
      <c r="P7" s="157"/>
      <c r="Q7" s="157"/>
      <c r="R7" s="157"/>
      <c r="S7" s="157"/>
      <c r="T7" s="157"/>
      <c r="U7" s="157"/>
      <c r="V7" s="157"/>
      <c r="W7" s="157"/>
      <c r="X7" s="158"/>
      <c r="Z7" s="153"/>
      <c r="AA7" s="153"/>
    </row>
    <row r="8" spans="1:100" ht="15">
      <c r="A8" s="63"/>
      <c r="B8" s="22" t="s">
        <v>26</v>
      </c>
      <c r="C8" s="20"/>
      <c r="D8" s="160"/>
      <c r="E8" s="160"/>
      <c r="F8" s="160"/>
      <c r="G8" s="160"/>
      <c r="H8" s="160"/>
      <c r="I8" s="160"/>
      <c r="J8" s="160"/>
      <c r="K8" s="160"/>
      <c r="L8" s="160"/>
      <c r="M8" s="160"/>
      <c r="N8" s="160"/>
      <c r="O8" s="160"/>
      <c r="P8" s="160"/>
      <c r="Q8" s="160"/>
      <c r="R8" s="160"/>
      <c r="S8" s="160"/>
      <c r="T8" s="160"/>
      <c r="U8" s="160"/>
      <c r="V8" s="160"/>
      <c r="W8" s="160"/>
      <c r="X8" s="161"/>
      <c r="Y8" s="160"/>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60"/>
      <c r="BI8" s="160"/>
      <c r="BJ8" s="160"/>
      <c r="BK8" s="160"/>
      <c r="BL8" s="160"/>
      <c r="BM8" s="160"/>
      <c r="BN8" s="160"/>
      <c r="BO8" s="160"/>
      <c r="BP8" s="160"/>
      <c r="BQ8" s="160"/>
      <c r="BR8" s="160"/>
      <c r="BS8" s="160"/>
      <c r="BT8" s="160"/>
      <c r="BU8" s="160"/>
      <c r="BV8" s="160"/>
      <c r="BW8" s="160"/>
      <c r="BX8" s="160"/>
      <c r="BY8" s="160"/>
      <c r="BZ8" s="160"/>
      <c r="CA8" s="160"/>
      <c r="CB8" s="160"/>
      <c r="CC8" s="160"/>
      <c r="CD8" s="160"/>
      <c r="CE8" s="160"/>
      <c r="CF8" s="160"/>
      <c r="CG8" s="160"/>
      <c r="CH8" s="160"/>
      <c r="CI8" s="160"/>
      <c r="CJ8" s="160"/>
      <c r="CK8" s="160"/>
      <c r="CL8" s="160"/>
      <c r="CM8" s="160"/>
      <c r="CN8" s="160"/>
      <c r="CO8" s="160"/>
      <c r="CP8" s="160"/>
      <c r="CQ8" s="160"/>
      <c r="CR8" s="160"/>
      <c r="CS8" s="160"/>
      <c r="CT8" s="160"/>
      <c r="CU8" s="160"/>
      <c r="CV8" s="160"/>
    </row>
    <row r="9" spans="1:100" ht="15">
      <c r="A9" s="63"/>
      <c r="B9" s="22"/>
      <c r="C9" s="19"/>
      <c r="D9" s="162"/>
      <c r="E9" s="162"/>
      <c r="F9" s="162"/>
      <c r="G9" s="162"/>
      <c r="H9" s="162"/>
      <c r="I9" s="162"/>
      <c r="J9" s="162"/>
      <c r="K9" s="162"/>
      <c r="L9" s="162"/>
      <c r="M9" s="162"/>
      <c r="N9" s="162"/>
      <c r="O9" s="162"/>
      <c r="P9" s="162"/>
      <c r="Q9" s="162"/>
      <c r="R9" s="162"/>
      <c r="S9" s="162"/>
      <c r="T9" s="162"/>
      <c r="U9" s="162"/>
      <c r="V9" s="162"/>
      <c r="W9" s="162"/>
      <c r="X9" s="161"/>
      <c r="Y9" s="160"/>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60"/>
      <c r="BI9" s="160"/>
      <c r="BJ9" s="160"/>
      <c r="BK9" s="160"/>
      <c r="BL9" s="160"/>
      <c r="BM9" s="160"/>
      <c r="BN9" s="160"/>
      <c r="BO9" s="160"/>
      <c r="BP9" s="160"/>
      <c r="BQ9" s="160"/>
      <c r="BR9" s="160"/>
      <c r="BS9" s="160"/>
      <c r="BT9" s="160"/>
      <c r="BU9" s="160"/>
      <c r="BV9" s="160"/>
      <c r="BW9" s="160"/>
      <c r="BX9" s="160"/>
      <c r="BY9" s="160"/>
      <c r="BZ9" s="160"/>
      <c r="CA9" s="160"/>
      <c r="CB9" s="160"/>
      <c r="CC9" s="160"/>
      <c r="CD9" s="160"/>
      <c r="CE9" s="160"/>
      <c r="CF9" s="160"/>
      <c r="CG9" s="160"/>
      <c r="CH9" s="160"/>
      <c r="CI9" s="160"/>
      <c r="CJ9" s="160"/>
      <c r="CK9" s="160"/>
      <c r="CL9" s="160"/>
      <c r="CM9" s="160"/>
      <c r="CN9" s="160"/>
      <c r="CO9" s="160"/>
      <c r="CP9" s="160"/>
      <c r="CQ9" s="160"/>
      <c r="CR9" s="160"/>
      <c r="CS9" s="160"/>
      <c r="CT9" s="160"/>
      <c r="CU9" s="160"/>
      <c r="CV9" s="160"/>
    </row>
    <row r="10" spans="1:100" s="166" customFormat="1" ht="15.75">
      <c r="A10" s="66"/>
      <c r="B10" s="22" t="s">
        <v>99</v>
      </c>
      <c r="C10" s="163"/>
      <c r="D10" s="160">
        <f>+('Income Creation'!D9*54000*12)/1000000</f>
        <v>30023.136</v>
      </c>
      <c r="E10" s="160">
        <f>+D10</f>
        <v>30023.136</v>
      </c>
      <c r="F10" s="160">
        <f aca="true" t="shared" si="1" ref="F10:W10">+E10</f>
        <v>30023.136</v>
      </c>
      <c r="G10" s="160">
        <f t="shared" si="1"/>
        <v>30023.136</v>
      </c>
      <c r="H10" s="160">
        <f t="shared" si="1"/>
        <v>30023.136</v>
      </c>
      <c r="I10" s="160">
        <f t="shared" si="1"/>
        <v>30023.136</v>
      </c>
      <c r="J10" s="160">
        <f t="shared" si="1"/>
        <v>30023.136</v>
      </c>
      <c r="K10" s="160">
        <f t="shared" si="1"/>
        <v>30023.136</v>
      </c>
      <c r="L10" s="160">
        <f t="shared" si="1"/>
        <v>30023.136</v>
      </c>
      <c r="M10" s="160">
        <f t="shared" si="1"/>
        <v>30023.136</v>
      </c>
      <c r="N10" s="160">
        <f t="shared" si="1"/>
        <v>30023.136</v>
      </c>
      <c r="O10" s="160">
        <f t="shared" si="1"/>
        <v>30023.136</v>
      </c>
      <c r="P10" s="160">
        <f t="shared" si="1"/>
        <v>30023.136</v>
      </c>
      <c r="Q10" s="160">
        <f t="shared" si="1"/>
        <v>30023.136</v>
      </c>
      <c r="R10" s="160">
        <f t="shared" si="1"/>
        <v>30023.136</v>
      </c>
      <c r="S10" s="160">
        <f t="shared" si="1"/>
        <v>30023.136</v>
      </c>
      <c r="T10" s="160">
        <f t="shared" si="1"/>
        <v>30023.136</v>
      </c>
      <c r="U10" s="160">
        <f t="shared" si="1"/>
        <v>30023.136</v>
      </c>
      <c r="V10" s="160">
        <f t="shared" si="1"/>
        <v>30023.136</v>
      </c>
      <c r="W10" s="160">
        <f t="shared" si="1"/>
        <v>30023.136</v>
      </c>
      <c r="X10" s="164"/>
      <c r="Y10" s="162"/>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2"/>
      <c r="BI10" s="162"/>
      <c r="BJ10" s="162"/>
      <c r="BK10" s="162"/>
      <c r="BL10" s="162"/>
      <c r="BM10" s="162"/>
      <c r="BN10" s="162"/>
      <c r="BO10" s="162"/>
      <c r="BP10" s="162"/>
      <c r="BQ10" s="162"/>
      <c r="BR10" s="162"/>
      <c r="BS10" s="162"/>
      <c r="BT10" s="162"/>
      <c r="BU10" s="162"/>
      <c r="BV10" s="162"/>
      <c r="BW10" s="162"/>
      <c r="BX10" s="162"/>
      <c r="BY10" s="162"/>
      <c r="BZ10" s="162"/>
      <c r="CA10" s="162"/>
      <c r="CB10" s="162"/>
      <c r="CC10" s="162"/>
      <c r="CD10" s="162"/>
      <c r="CE10" s="162"/>
      <c r="CF10" s="162"/>
      <c r="CG10" s="162"/>
      <c r="CH10" s="162"/>
      <c r="CI10" s="162"/>
      <c r="CJ10" s="162"/>
      <c r="CK10" s="162"/>
      <c r="CL10" s="162"/>
      <c r="CM10" s="162"/>
      <c r="CN10" s="162"/>
      <c r="CO10" s="162"/>
      <c r="CP10" s="162"/>
      <c r="CQ10" s="162"/>
      <c r="CR10" s="162"/>
      <c r="CS10" s="162"/>
      <c r="CT10" s="162"/>
      <c r="CU10" s="162"/>
      <c r="CV10" s="162"/>
    </row>
    <row r="11" spans="1:100" s="166" customFormat="1" ht="15.75">
      <c r="A11" s="66"/>
      <c r="B11" s="22"/>
      <c r="C11" s="163"/>
      <c r="D11" s="162"/>
      <c r="E11" s="162"/>
      <c r="F11" s="162"/>
      <c r="G11" s="162"/>
      <c r="H11" s="162"/>
      <c r="I11" s="162"/>
      <c r="J11" s="162"/>
      <c r="K11" s="162"/>
      <c r="L11" s="162"/>
      <c r="M11" s="162"/>
      <c r="N11" s="162"/>
      <c r="O11" s="162"/>
      <c r="P11" s="162"/>
      <c r="Q11" s="162"/>
      <c r="R11" s="162"/>
      <c r="S11" s="162"/>
      <c r="T11" s="162"/>
      <c r="U11" s="162"/>
      <c r="V11" s="162"/>
      <c r="W11" s="162"/>
      <c r="X11" s="164"/>
      <c r="Y11" s="162"/>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2"/>
      <c r="BI11" s="162"/>
      <c r="BJ11" s="162"/>
      <c r="BK11" s="162"/>
      <c r="BL11" s="162"/>
      <c r="BM11" s="162"/>
      <c r="BN11" s="162"/>
      <c r="BO11" s="162"/>
      <c r="BP11" s="162"/>
      <c r="BQ11" s="162"/>
      <c r="BR11" s="162"/>
      <c r="BS11" s="162"/>
      <c r="BT11" s="162"/>
      <c r="BU11" s="162"/>
      <c r="BV11" s="162"/>
      <c r="BW11" s="162"/>
      <c r="BX11" s="162"/>
      <c r="BY11" s="162"/>
      <c r="BZ11" s="162"/>
      <c r="CA11" s="162"/>
      <c r="CB11" s="162"/>
      <c r="CC11" s="162"/>
      <c r="CD11" s="162"/>
      <c r="CE11" s="162"/>
      <c r="CF11" s="162"/>
      <c r="CG11" s="162"/>
      <c r="CH11" s="162"/>
      <c r="CI11" s="162"/>
      <c r="CJ11" s="162"/>
      <c r="CK11" s="162"/>
      <c r="CL11" s="162"/>
      <c r="CM11" s="162"/>
      <c r="CN11" s="162"/>
      <c r="CO11" s="162"/>
      <c r="CP11" s="162"/>
      <c r="CQ11" s="162"/>
      <c r="CR11" s="162"/>
      <c r="CS11" s="162"/>
      <c r="CT11" s="162"/>
      <c r="CU11" s="162"/>
      <c r="CV11" s="162"/>
    </row>
    <row r="12" spans="1:100" s="166" customFormat="1" ht="15.75">
      <c r="A12" s="66"/>
      <c r="B12" s="22" t="s">
        <v>35</v>
      </c>
      <c r="C12" s="163"/>
      <c r="D12" s="162"/>
      <c r="E12" s="162"/>
      <c r="F12" s="162"/>
      <c r="G12" s="162"/>
      <c r="H12" s="162"/>
      <c r="I12" s="162"/>
      <c r="J12" s="162"/>
      <c r="K12" s="162"/>
      <c r="L12" s="162"/>
      <c r="M12" s="162"/>
      <c r="N12" s="162"/>
      <c r="O12" s="162"/>
      <c r="P12" s="162"/>
      <c r="Q12" s="162"/>
      <c r="R12" s="162"/>
      <c r="S12" s="162"/>
      <c r="T12" s="162"/>
      <c r="U12" s="162"/>
      <c r="V12" s="162"/>
      <c r="W12" s="162"/>
      <c r="X12" s="164"/>
      <c r="Y12" s="162"/>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row>
    <row r="13" spans="1:100" s="166" customFormat="1" ht="15.75">
      <c r="A13" s="66"/>
      <c r="B13" s="22"/>
      <c r="C13" s="163"/>
      <c r="D13" s="162"/>
      <c r="E13" s="162"/>
      <c r="F13" s="162"/>
      <c r="G13" s="162"/>
      <c r="H13" s="162"/>
      <c r="I13" s="162"/>
      <c r="J13" s="162"/>
      <c r="K13" s="162"/>
      <c r="L13" s="162"/>
      <c r="M13" s="162"/>
      <c r="N13" s="162"/>
      <c r="O13" s="162"/>
      <c r="P13" s="162"/>
      <c r="Q13" s="162"/>
      <c r="R13" s="162"/>
      <c r="S13" s="162"/>
      <c r="T13" s="162"/>
      <c r="U13" s="162"/>
      <c r="V13" s="162"/>
      <c r="W13" s="162"/>
      <c r="X13" s="164"/>
      <c r="Y13" s="162"/>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2"/>
      <c r="BI13" s="162"/>
      <c r="BJ13" s="162"/>
      <c r="BK13" s="162"/>
      <c r="BL13" s="162"/>
      <c r="BM13" s="162"/>
      <c r="BN13" s="162"/>
      <c r="BO13" s="162"/>
      <c r="BP13" s="162"/>
      <c r="BQ13" s="162"/>
      <c r="BR13" s="162"/>
      <c r="BS13" s="162"/>
      <c r="BT13" s="162"/>
      <c r="BU13" s="162"/>
      <c r="BV13" s="162"/>
      <c r="BW13" s="162"/>
      <c r="BX13" s="162"/>
      <c r="BY13" s="162"/>
      <c r="BZ13" s="162"/>
      <c r="CA13" s="162"/>
      <c r="CB13" s="162"/>
      <c r="CC13" s="162"/>
      <c r="CD13" s="162"/>
      <c r="CE13" s="162"/>
      <c r="CF13" s="162"/>
      <c r="CG13" s="162"/>
      <c r="CH13" s="162"/>
      <c r="CI13" s="162"/>
      <c r="CJ13" s="162"/>
      <c r="CK13" s="162"/>
      <c r="CL13" s="162"/>
      <c r="CM13" s="162"/>
      <c r="CN13" s="162"/>
      <c r="CO13" s="162"/>
      <c r="CP13" s="162"/>
      <c r="CQ13" s="162"/>
      <c r="CR13" s="162"/>
      <c r="CS13" s="162"/>
      <c r="CT13" s="162"/>
      <c r="CU13" s="162"/>
      <c r="CV13" s="162"/>
    </row>
    <row r="14" spans="1:100" s="166" customFormat="1" ht="15.75">
      <c r="A14" s="66"/>
      <c r="B14" s="22"/>
      <c r="C14" s="20" t="s">
        <v>71</v>
      </c>
      <c r="D14" s="160">
        <f>+'Income Creation'!D25</f>
        <v>760308.1200000001</v>
      </c>
      <c r="E14" s="160">
        <f>+D14*(1+Assumptions!$C$27)</f>
        <v>775514.2824000001</v>
      </c>
      <c r="F14" s="160">
        <f>+E14*(1+Assumptions!$C$27)</f>
        <v>791024.5680480001</v>
      </c>
      <c r="G14" s="160">
        <f>+F14*(1+Assumptions!$C$27)</f>
        <v>806845.0594089602</v>
      </c>
      <c r="H14" s="160">
        <f>+G14*(1+Assumptions!$C$27)</f>
        <v>822981.9605971394</v>
      </c>
      <c r="I14" s="160">
        <f>+H14*(1+Assumptions!$C$27)</f>
        <v>839441.5998090822</v>
      </c>
      <c r="J14" s="160">
        <f>+I14*(1+Assumptions!$C$27)</f>
        <v>856230.4318052639</v>
      </c>
      <c r="K14" s="160">
        <f>+J14*(1+Assumptions!$C$27)</f>
        <v>873355.0404413692</v>
      </c>
      <c r="L14" s="160">
        <f>+K14*(1+Assumptions!$C$27)</f>
        <v>890822.1412501966</v>
      </c>
      <c r="M14" s="160">
        <f>+L14*(1+Assumptions!$C$27)</f>
        <v>908638.5840752006</v>
      </c>
      <c r="N14" s="160">
        <f>+M14*(1+Assumptions!$C$27)</f>
        <v>926811.3557567046</v>
      </c>
      <c r="O14" s="160">
        <f>+N14*(1+Assumptions!$C$27)</f>
        <v>945347.5828718387</v>
      </c>
      <c r="P14" s="160">
        <f>+O14*(1+Assumptions!$C$27)</f>
        <v>964254.5345292755</v>
      </c>
      <c r="Q14" s="160">
        <f>+P14*(1+Assumptions!$C$27)</f>
        <v>983539.625219861</v>
      </c>
      <c r="R14" s="160">
        <f>+Q14*(1+Assumptions!$C$27)</f>
        <v>1003210.4177242583</v>
      </c>
      <c r="S14" s="160">
        <f>+R14*(1+Assumptions!$C$27)</f>
        <v>1023274.6260787435</v>
      </c>
      <c r="T14" s="160">
        <f>+S14*(1+Assumptions!$C$27)</f>
        <v>1043740.1186003183</v>
      </c>
      <c r="U14" s="160">
        <f>+T14*(1+Assumptions!$C$27)</f>
        <v>1064614.9209723247</v>
      </c>
      <c r="V14" s="160">
        <f>+U14*(1+Assumptions!$C$27)</f>
        <v>1085907.2193917711</v>
      </c>
      <c r="W14" s="160">
        <f>+V14*(1+Assumptions!$C$27)</f>
        <v>1107625.3637796065</v>
      </c>
      <c r="X14" s="164"/>
      <c r="Y14" s="162"/>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165"/>
      <c r="BA14" s="165"/>
      <c r="BB14" s="165"/>
      <c r="BC14" s="165"/>
      <c r="BD14" s="165"/>
      <c r="BE14" s="165"/>
      <c r="BF14" s="165"/>
      <c r="BG14" s="165"/>
      <c r="BH14" s="162"/>
      <c r="BI14" s="162"/>
      <c r="BJ14" s="162"/>
      <c r="BK14" s="162"/>
      <c r="BL14" s="162"/>
      <c r="BM14" s="162"/>
      <c r="BN14" s="162"/>
      <c r="BO14" s="162"/>
      <c r="BP14" s="162"/>
      <c r="BQ14" s="162"/>
      <c r="BR14" s="162"/>
      <c r="BS14" s="162"/>
      <c r="BT14" s="162"/>
      <c r="BU14" s="162"/>
      <c r="BV14" s="162"/>
      <c r="BW14" s="162"/>
      <c r="BX14" s="162"/>
      <c r="BY14" s="162"/>
      <c r="BZ14" s="162"/>
      <c r="CA14" s="162"/>
      <c r="CB14" s="162"/>
      <c r="CC14" s="162"/>
      <c r="CD14" s="162"/>
      <c r="CE14" s="162"/>
      <c r="CF14" s="162"/>
      <c r="CG14" s="162"/>
      <c r="CH14" s="162"/>
      <c r="CI14" s="162"/>
      <c r="CJ14" s="162"/>
      <c r="CK14" s="162"/>
      <c r="CL14" s="162"/>
      <c r="CM14" s="162"/>
      <c r="CN14" s="162"/>
      <c r="CO14" s="162"/>
      <c r="CP14" s="162"/>
      <c r="CQ14" s="162"/>
      <c r="CR14" s="162"/>
      <c r="CS14" s="162"/>
      <c r="CT14" s="162"/>
      <c r="CU14" s="162"/>
      <c r="CV14" s="162"/>
    </row>
    <row r="15" spans="1:100" s="166" customFormat="1" ht="15.75">
      <c r="A15" s="66"/>
      <c r="B15" s="22"/>
      <c r="C15" s="163"/>
      <c r="D15" s="162"/>
      <c r="E15" s="162"/>
      <c r="F15" s="162"/>
      <c r="G15" s="162"/>
      <c r="H15" s="162"/>
      <c r="I15" s="162"/>
      <c r="J15" s="162"/>
      <c r="K15" s="162"/>
      <c r="L15" s="162"/>
      <c r="M15" s="162"/>
      <c r="N15" s="162"/>
      <c r="O15" s="162"/>
      <c r="P15" s="162"/>
      <c r="Q15" s="162"/>
      <c r="R15" s="162"/>
      <c r="S15" s="162"/>
      <c r="T15" s="162"/>
      <c r="U15" s="162"/>
      <c r="V15" s="162"/>
      <c r="W15" s="162"/>
      <c r="X15" s="164"/>
      <c r="Y15" s="162"/>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2"/>
      <c r="BI15" s="162"/>
      <c r="BJ15" s="162"/>
      <c r="BK15" s="162"/>
      <c r="BL15" s="162"/>
      <c r="BM15" s="162"/>
      <c r="BN15" s="162"/>
      <c r="BO15" s="162"/>
      <c r="BP15" s="162"/>
      <c r="BQ15" s="162"/>
      <c r="BR15" s="162"/>
      <c r="BS15" s="162"/>
      <c r="BT15" s="162"/>
      <c r="BU15" s="162"/>
      <c r="BV15" s="162"/>
      <c r="BW15" s="162"/>
      <c r="BX15" s="162"/>
      <c r="BY15" s="162"/>
      <c r="BZ15" s="162"/>
      <c r="CA15" s="162"/>
      <c r="CB15" s="162"/>
      <c r="CC15" s="162"/>
      <c r="CD15" s="162"/>
      <c r="CE15" s="162"/>
      <c r="CF15" s="162"/>
      <c r="CG15" s="162"/>
      <c r="CH15" s="162"/>
      <c r="CI15" s="162"/>
      <c r="CJ15" s="162"/>
      <c r="CK15" s="162"/>
      <c r="CL15" s="162"/>
      <c r="CM15" s="162"/>
      <c r="CN15" s="162"/>
      <c r="CO15" s="162"/>
      <c r="CP15" s="162"/>
      <c r="CQ15" s="162"/>
      <c r="CR15" s="162"/>
      <c r="CS15" s="162"/>
      <c r="CT15" s="162"/>
      <c r="CU15" s="162"/>
      <c r="CV15" s="162"/>
    </row>
    <row r="16" spans="1:100" s="166" customFormat="1" ht="15.75">
      <c r="A16" s="66"/>
      <c r="B16" s="22" t="s">
        <v>31</v>
      </c>
      <c r="C16" s="19"/>
      <c r="D16" s="160">
        <f aca="true" t="shared" si="2" ref="D16:W16">+D8-D10+D14</f>
        <v>730284.9840000002</v>
      </c>
      <c r="E16" s="160">
        <f t="shared" si="2"/>
        <v>745491.1464000002</v>
      </c>
      <c r="F16" s="160">
        <f t="shared" si="2"/>
        <v>761001.4320480002</v>
      </c>
      <c r="G16" s="160">
        <f t="shared" si="2"/>
        <v>776821.9234089602</v>
      </c>
      <c r="H16" s="160">
        <f t="shared" si="2"/>
        <v>792958.8245971394</v>
      </c>
      <c r="I16" s="160">
        <f t="shared" si="2"/>
        <v>809418.4638090823</v>
      </c>
      <c r="J16" s="160">
        <f t="shared" si="2"/>
        <v>826207.2958052638</v>
      </c>
      <c r="K16" s="160">
        <f t="shared" si="2"/>
        <v>843331.9044413692</v>
      </c>
      <c r="L16" s="160">
        <f t="shared" si="2"/>
        <v>860799.0052501967</v>
      </c>
      <c r="M16" s="160">
        <f t="shared" si="2"/>
        <v>878615.4480752007</v>
      </c>
      <c r="N16" s="160">
        <f t="shared" si="2"/>
        <v>896788.2197567045</v>
      </c>
      <c r="O16" s="160">
        <f t="shared" si="2"/>
        <v>915324.4468718388</v>
      </c>
      <c r="P16" s="160">
        <f t="shared" si="2"/>
        <v>934231.3985292756</v>
      </c>
      <c r="Q16" s="160">
        <f t="shared" si="2"/>
        <v>953516.4892198611</v>
      </c>
      <c r="R16" s="160">
        <f t="shared" si="2"/>
        <v>973187.2817242583</v>
      </c>
      <c r="S16" s="160">
        <f t="shared" si="2"/>
        <v>993251.4900787435</v>
      </c>
      <c r="T16" s="160">
        <f t="shared" si="2"/>
        <v>1013716.9826003183</v>
      </c>
      <c r="U16" s="160">
        <f t="shared" si="2"/>
        <v>1034591.7849723247</v>
      </c>
      <c r="V16" s="160">
        <f t="shared" si="2"/>
        <v>1055884.0833917712</v>
      </c>
      <c r="W16" s="160">
        <f t="shared" si="2"/>
        <v>1077602.2277796066</v>
      </c>
      <c r="X16" s="164"/>
      <c r="Y16" s="162"/>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2"/>
      <c r="BI16" s="162"/>
      <c r="BJ16" s="162"/>
      <c r="BK16" s="162"/>
      <c r="BL16" s="162"/>
      <c r="BM16" s="162"/>
      <c r="BN16" s="162"/>
      <c r="BO16" s="162"/>
      <c r="BP16" s="162"/>
      <c r="BQ16" s="162"/>
      <c r="BR16" s="162"/>
      <c r="BS16" s="162"/>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row>
    <row r="17" spans="1:100" s="166" customFormat="1" ht="15.75">
      <c r="A17" s="66"/>
      <c r="B17" s="22"/>
      <c r="C17" s="19"/>
      <c r="D17" s="162"/>
      <c r="E17" s="162"/>
      <c r="F17" s="162"/>
      <c r="G17" s="162"/>
      <c r="H17" s="162"/>
      <c r="I17" s="162"/>
      <c r="J17" s="162"/>
      <c r="K17" s="162"/>
      <c r="L17" s="162"/>
      <c r="M17" s="162"/>
      <c r="N17" s="162"/>
      <c r="O17" s="162"/>
      <c r="P17" s="162"/>
      <c r="Q17" s="162"/>
      <c r="R17" s="162"/>
      <c r="S17" s="162"/>
      <c r="T17" s="162"/>
      <c r="U17" s="162"/>
      <c r="V17" s="162"/>
      <c r="W17" s="162"/>
      <c r="X17" s="164"/>
      <c r="Y17" s="162"/>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2"/>
      <c r="BI17" s="162"/>
      <c r="BJ17" s="162"/>
      <c r="BK17" s="162"/>
      <c r="BL17" s="162"/>
      <c r="BM17" s="162"/>
      <c r="BN17" s="162"/>
      <c r="BO17" s="162"/>
      <c r="BP17" s="162"/>
      <c r="BQ17" s="162"/>
      <c r="BR17" s="162"/>
      <c r="BS17" s="162"/>
      <c r="BT17" s="162"/>
      <c r="BU17" s="162"/>
      <c r="BV17" s="162"/>
      <c r="BW17" s="162"/>
      <c r="BX17" s="162"/>
      <c r="BY17" s="162"/>
      <c r="BZ17" s="162"/>
      <c r="CA17" s="162"/>
      <c r="CB17" s="162"/>
      <c r="CC17" s="162"/>
      <c r="CD17" s="162"/>
      <c r="CE17" s="162"/>
      <c r="CF17" s="162"/>
      <c r="CG17" s="162"/>
      <c r="CH17" s="162"/>
      <c r="CI17" s="162"/>
      <c r="CJ17" s="162"/>
      <c r="CK17" s="162"/>
      <c r="CL17" s="162"/>
      <c r="CM17" s="162"/>
      <c r="CN17" s="162"/>
      <c r="CO17" s="162"/>
      <c r="CP17" s="162"/>
      <c r="CQ17" s="162"/>
      <c r="CR17" s="162"/>
      <c r="CS17" s="162"/>
      <c r="CT17" s="162"/>
      <c r="CU17" s="162"/>
      <c r="CV17" s="162"/>
    </row>
    <row r="18" spans="1:100" ht="15">
      <c r="A18" s="63"/>
      <c r="B18" s="154" t="s">
        <v>30</v>
      </c>
      <c r="C18" s="20"/>
      <c r="D18" s="160"/>
      <c r="E18" s="160"/>
      <c r="F18" s="160"/>
      <c r="G18" s="160"/>
      <c r="H18" s="160"/>
      <c r="I18" s="160"/>
      <c r="J18" s="160"/>
      <c r="K18" s="160"/>
      <c r="L18" s="160"/>
      <c r="M18" s="160"/>
      <c r="N18" s="160"/>
      <c r="O18" s="160"/>
      <c r="P18" s="160"/>
      <c r="Q18" s="160"/>
      <c r="R18" s="160"/>
      <c r="S18" s="160"/>
      <c r="T18" s="160"/>
      <c r="U18" s="160"/>
      <c r="V18" s="160"/>
      <c r="W18" s="160"/>
      <c r="X18" s="161"/>
      <c r="Y18" s="160"/>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60"/>
      <c r="BI18" s="160"/>
      <c r="BJ18" s="160"/>
      <c r="BK18" s="160"/>
      <c r="BL18" s="160"/>
      <c r="BM18" s="160"/>
      <c r="BN18" s="160"/>
      <c r="BO18" s="160"/>
      <c r="BP18" s="160"/>
      <c r="BQ18" s="160"/>
      <c r="BR18" s="160"/>
      <c r="BS18" s="160"/>
      <c r="BT18" s="160"/>
      <c r="BU18" s="160"/>
      <c r="BV18" s="160"/>
      <c r="BW18" s="160"/>
      <c r="BX18" s="160"/>
      <c r="BY18" s="160"/>
      <c r="BZ18" s="160"/>
      <c r="CA18" s="160"/>
      <c r="CB18" s="160"/>
      <c r="CC18" s="160"/>
      <c r="CD18" s="160"/>
      <c r="CE18" s="160"/>
      <c r="CF18" s="160"/>
      <c r="CG18" s="160"/>
      <c r="CH18" s="160"/>
      <c r="CI18" s="160"/>
      <c r="CJ18" s="160"/>
      <c r="CK18" s="160"/>
      <c r="CL18" s="160"/>
      <c r="CM18" s="160"/>
      <c r="CN18" s="160"/>
      <c r="CO18" s="160"/>
      <c r="CP18" s="160"/>
      <c r="CQ18" s="160"/>
      <c r="CR18" s="160"/>
      <c r="CS18" s="160"/>
      <c r="CT18" s="160"/>
      <c r="CU18" s="160"/>
      <c r="CV18" s="160"/>
    </row>
    <row r="19" spans="1:100" ht="15">
      <c r="A19" s="63"/>
      <c r="B19" s="22"/>
      <c r="C19" s="20"/>
      <c r="D19" s="160"/>
      <c r="E19" s="160"/>
      <c r="F19" s="160"/>
      <c r="G19" s="160"/>
      <c r="H19" s="160"/>
      <c r="I19" s="160"/>
      <c r="J19" s="160"/>
      <c r="K19" s="160"/>
      <c r="L19" s="160"/>
      <c r="M19" s="160"/>
      <c r="N19" s="160"/>
      <c r="O19" s="160"/>
      <c r="P19" s="160"/>
      <c r="Q19" s="160"/>
      <c r="R19" s="160"/>
      <c r="S19" s="160"/>
      <c r="T19" s="160"/>
      <c r="U19" s="160"/>
      <c r="V19" s="160"/>
      <c r="W19" s="160"/>
      <c r="X19" s="161"/>
      <c r="Y19" s="160"/>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60"/>
      <c r="BI19" s="160"/>
      <c r="BJ19" s="160"/>
      <c r="BK19" s="160"/>
      <c r="BL19" s="160"/>
      <c r="BM19" s="160"/>
      <c r="BN19" s="160"/>
      <c r="BO19" s="160"/>
      <c r="BP19" s="160"/>
      <c r="BQ19" s="160"/>
      <c r="BR19" s="160"/>
      <c r="BS19" s="160"/>
      <c r="BT19" s="160"/>
      <c r="BU19" s="160"/>
      <c r="BV19" s="160"/>
      <c r="BW19" s="160"/>
      <c r="BX19" s="160"/>
      <c r="BY19" s="160"/>
      <c r="BZ19" s="160"/>
      <c r="CA19" s="160"/>
      <c r="CB19" s="160"/>
      <c r="CC19" s="160"/>
      <c r="CD19" s="160"/>
      <c r="CE19" s="160"/>
      <c r="CF19" s="160"/>
      <c r="CG19" s="160"/>
      <c r="CH19" s="160"/>
      <c r="CI19" s="160"/>
      <c r="CJ19" s="160"/>
      <c r="CK19" s="160"/>
      <c r="CL19" s="160"/>
      <c r="CM19" s="160"/>
      <c r="CN19" s="160"/>
      <c r="CO19" s="160"/>
      <c r="CP19" s="160"/>
      <c r="CQ19" s="160"/>
      <c r="CR19" s="160"/>
      <c r="CS19" s="160"/>
      <c r="CT19" s="160"/>
      <c r="CU19" s="160"/>
      <c r="CV19" s="160"/>
    </row>
    <row r="20" spans="1:100" ht="15">
      <c r="A20" s="63"/>
      <c r="B20" s="22" t="s">
        <v>26</v>
      </c>
      <c r="C20" s="20"/>
      <c r="D20" s="160"/>
      <c r="E20" s="160"/>
      <c r="F20" s="160"/>
      <c r="G20" s="160"/>
      <c r="H20" s="160"/>
      <c r="I20" s="160"/>
      <c r="J20" s="160"/>
      <c r="K20" s="160"/>
      <c r="L20" s="160"/>
      <c r="M20" s="160"/>
      <c r="N20" s="160"/>
      <c r="O20" s="160"/>
      <c r="P20" s="160"/>
      <c r="Q20" s="160"/>
      <c r="R20" s="160"/>
      <c r="S20" s="160"/>
      <c r="T20" s="160"/>
      <c r="U20" s="160"/>
      <c r="V20" s="160"/>
      <c r="W20" s="160"/>
      <c r="X20" s="161"/>
      <c r="Y20" s="160"/>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60"/>
      <c r="BI20" s="160"/>
      <c r="BJ20" s="160"/>
      <c r="BK20" s="160"/>
      <c r="BL20" s="160"/>
      <c r="BM20" s="160"/>
      <c r="BN20" s="160"/>
      <c r="BO20" s="160"/>
      <c r="BP20" s="160"/>
      <c r="BQ20" s="160"/>
      <c r="BR20" s="160"/>
      <c r="BS20" s="160"/>
      <c r="BT20" s="160"/>
      <c r="BU20" s="160"/>
      <c r="BV20" s="160"/>
      <c r="BW20" s="160"/>
      <c r="BX20" s="160"/>
      <c r="BY20" s="160"/>
      <c r="BZ20" s="160"/>
      <c r="CA20" s="160"/>
      <c r="CB20" s="160"/>
      <c r="CC20" s="160"/>
      <c r="CD20" s="160"/>
      <c r="CE20" s="160"/>
      <c r="CF20" s="160"/>
      <c r="CG20" s="160"/>
      <c r="CH20" s="160"/>
      <c r="CI20" s="160"/>
      <c r="CJ20" s="160"/>
      <c r="CK20" s="160"/>
      <c r="CL20" s="160"/>
      <c r="CM20" s="160"/>
      <c r="CN20" s="160"/>
      <c r="CO20" s="160"/>
      <c r="CP20" s="160"/>
      <c r="CQ20" s="160"/>
      <c r="CR20" s="160"/>
      <c r="CS20" s="160"/>
      <c r="CT20" s="160"/>
      <c r="CU20" s="160"/>
      <c r="CV20" s="160"/>
    </row>
    <row r="21" spans="1:100" ht="15">
      <c r="A21" s="63"/>
      <c r="B21" s="22"/>
      <c r="C21" s="19"/>
      <c r="D21" s="160"/>
      <c r="E21" s="160"/>
      <c r="F21" s="160"/>
      <c r="G21" s="160"/>
      <c r="H21" s="160"/>
      <c r="I21" s="160"/>
      <c r="J21" s="160"/>
      <c r="K21" s="160"/>
      <c r="L21" s="160"/>
      <c r="M21" s="160"/>
      <c r="N21" s="160"/>
      <c r="O21" s="160"/>
      <c r="P21" s="160"/>
      <c r="Q21" s="160"/>
      <c r="R21" s="160"/>
      <c r="S21" s="160"/>
      <c r="T21" s="160"/>
      <c r="U21" s="160"/>
      <c r="V21" s="160"/>
      <c r="W21" s="160"/>
      <c r="X21" s="161"/>
      <c r="Y21" s="160"/>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60"/>
      <c r="BI21" s="160"/>
      <c r="BJ21" s="160"/>
      <c r="BK21" s="160"/>
      <c r="BL21" s="160"/>
      <c r="BM21" s="160"/>
      <c r="BN21" s="160"/>
      <c r="BO21" s="160"/>
      <c r="BP21" s="160"/>
      <c r="BQ21" s="160"/>
      <c r="BR21" s="160"/>
      <c r="BS21" s="160"/>
      <c r="BT21" s="160"/>
      <c r="BU21" s="160"/>
      <c r="BV21" s="160"/>
      <c r="BW21" s="160"/>
      <c r="BX21" s="160"/>
      <c r="BY21" s="160"/>
      <c r="BZ21" s="160"/>
      <c r="CA21" s="160"/>
      <c r="CB21" s="160"/>
      <c r="CC21" s="160"/>
      <c r="CD21" s="160"/>
      <c r="CE21" s="160"/>
      <c r="CF21" s="160"/>
      <c r="CG21" s="160"/>
      <c r="CH21" s="160"/>
      <c r="CI21" s="160"/>
      <c r="CJ21" s="160"/>
      <c r="CK21" s="160"/>
      <c r="CL21" s="160"/>
      <c r="CM21" s="160"/>
      <c r="CN21" s="160"/>
      <c r="CO21" s="160"/>
      <c r="CP21" s="160"/>
      <c r="CQ21" s="160"/>
      <c r="CR21" s="160"/>
      <c r="CS21" s="160"/>
      <c r="CT21" s="160"/>
      <c r="CU21" s="160"/>
      <c r="CV21" s="160"/>
    </row>
    <row r="22" spans="1:100" ht="15">
      <c r="A22" s="63"/>
      <c r="B22" s="22" t="s">
        <v>27</v>
      </c>
      <c r="C22" s="163"/>
      <c r="D22" s="160"/>
      <c r="E22" s="160"/>
      <c r="F22" s="160"/>
      <c r="G22" s="160"/>
      <c r="H22" s="160"/>
      <c r="I22" s="160"/>
      <c r="J22" s="160"/>
      <c r="K22" s="160"/>
      <c r="L22" s="160"/>
      <c r="M22" s="160"/>
      <c r="N22" s="160"/>
      <c r="O22" s="160"/>
      <c r="P22" s="160"/>
      <c r="Q22" s="160"/>
      <c r="R22" s="160"/>
      <c r="S22" s="160"/>
      <c r="T22" s="160"/>
      <c r="U22" s="160"/>
      <c r="V22" s="160"/>
      <c r="W22" s="160"/>
      <c r="X22" s="161"/>
      <c r="Y22" s="160"/>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60"/>
      <c r="BI22" s="160"/>
      <c r="BJ22" s="160"/>
      <c r="BK22" s="160"/>
      <c r="BL22" s="160"/>
      <c r="BM22" s="160"/>
      <c r="BN22" s="160"/>
      <c r="BO22" s="160"/>
      <c r="BP22" s="160"/>
      <c r="BQ22" s="160"/>
      <c r="BR22" s="160"/>
      <c r="BS22" s="160"/>
      <c r="BT22" s="160"/>
      <c r="BU22" s="160"/>
      <c r="BV22" s="160"/>
      <c r="BW22" s="160"/>
      <c r="BX22" s="160"/>
      <c r="BY22" s="160"/>
      <c r="BZ22" s="160"/>
      <c r="CA22" s="160"/>
      <c r="CB22" s="160"/>
      <c r="CC22" s="160"/>
      <c r="CD22" s="160"/>
      <c r="CE22" s="160"/>
      <c r="CF22" s="160"/>
      <c r="CG22" s="160"/>
      <c r="CH22" s="160"/>
      <c r="CI22" s="160"/>
      <c r="CJ22" s="160"/>
      <c r="CK22" s="160"/>
      <c r="CL22" s="160"/>
      <c r="CM22" s="160"/>
      <c r="CN22" s="160"/>
      <c r="CO22" s="160"/>
      <c r="CP22" s="160"/>
      <c r="CQ22" s="160"/>
      <c r="CR22" s="160"/>
      <c r="CS22" s="160"/>
      <c r="CT22" s="160"/>
      <c r="CU22" s="160"/>
      <c r="CV22" s="160"/>
    </row>
    <row r="23" spans="1:100" ht="15">
      <c r="A23" s="63"/>
      <c r="B23" s="22"/>
      <c r="C23" s="20" t="s">
        <v>28</v>
      </c>
      <c r="D23" s="167">
        <f>(+(Projects!D40+Projects!E40)*9100/1000000)*'ERR &amp; Sensitivity Analysis'!G9</f>
        <v>2008455.6153124843</v>
      </c>
      <c r="E23" s="167"/>
      <c r="F23" s="167"/>
      <c r="G23" s="167"/>
      <c r="H23" s="167"/>
      <c r="I23" s="167"/>
      <c r="J23" s="167"/>
      <c r="K23" s="167"/>
      <c r="L23" s="167"/>
      <c r="M23" s="167"/>
      <c r="N23" s="167"/>
      <c r="O23" s="167"/>
      <c r="P23" s="167"/>
      <c r="Q23" s="167"/>
      <c r="R23" s="167"/>
      <c r="S23" s="167"/>
      <c r="T23" s="167"/>
      <c r="U23" s="167"/>
      <c r="V23" s="167"/>
      <c r="W23" s="167"/>
      <c r="X23" s="161"/>
      <c r="Y23" s="160"/>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60"/>
      <c r="BI23" s="160"/>
      <c r="BJ23" s="160"/>
      <c r="BK23" s="160"/>
      <c r="BL23" s="160"/>
      <c r="BM23" s="160"/>
      <c r="BN23" s="160"/>
      <c r="BO23" s="160"/>
      <c r="BP23" s="160"/>
      <c r="BQ23" s="160"/>
      <c r="BR23" s="160"/>
      <c r="BS23" s="160"/>
      <c r="BT23" s="160"/>
      <c r="BU23" s="160"/>
      <c r="BV23" s="160"/>
      <c r="BW23" s="160"/>
      <c r="BX23" s="160"/>
      <c r="BY23" s="160"/>
      <c r="BZ23" s="160"/>
      <c r="CA23" s="160"/>
      <c r="CB23" s="160"/>
      <c r="CC23" s="160"/>
      <c r="CD23" s="160"/>
      <c r="CE23" s="160"/>
      <c r="CF23" s="160"/>
      <c r="CG23" s="160"/>
      <c r="CH23" s="160"/>
      <c r="CI23" s="160"/>
      <c r="CJ23" s="160"/>
      <c r="CK23" s="160"/>
      <c r="CL23" s="160"/>
      <c r="CM23" s="160"/>
      <c r="CN23" s="160"/>
      <c r="CO23" s="160"/>
      <c r="CP23" s="160"/>
      <c r="CQ23" s="160"/>
      <c r="CR23" s="160"/>
      <c r="CS23" s="160"/>
      <c r="CT23" s="160"/>
      <c r="CU23" s="160"/>
      <c r="CV23" s="160"/>
    </row>
    <row r="24" spans="1:100" ht="15">
      <c r="A24" s="63"/>
      <c r="B24" s="22"/>
      <c r="C24" s="20" t="s">
        <v>100</v>
      </c>
      <c r="D24" s="160">
        <f>+(Demand!D24+Demand!D25+Demand!D26)*0.6*'ERR &amp; Sensitivity Analysis'!$G$9</f>
        <v>89297.26298064001</v>
      </c>
      <c r="E24" s="160">
        <f>+(Demand!E24+Demand!E25+Demand!E26)*0.6*'ERR &amp; Sensitivity Analysis'!$G$9</f>
        <v>87232.37727110248</v>
      </c>
      <c r="F24" s="160">
        <f>+(Demand!F24+Demand!F25+Demand!F26)*0.6*'ERR &amp; Sensitivity Analysis'!$G$9</f>
        <v>103111.10553940777</v>
      </c>
      <c r="G24" s="160">
        <f>+(Demand!G24+Demand!G25+Demand!G26)*0.6*'ERR &amp; Sensitivity Analysis'!$G$9</f>
        <v>122004.77882963853</v>
      </c>
      <c r="H24" s="160">
        <f>+(Demand!H24+Demand!H25+Demand!H26)*0.6*'ERR &amp; Sensitivity Analysis'!$G$9</f>
        <v>144493.5987413569</v>
      </c>
      <c r="I24" s="160">
        <f>+(Demand!I24+Demand!I25+Demand!I26)*0.6*'ERR &amp; Sensitivity Analysis'!$G$9</f>
        <v>171270.96047501566</v>
      </c>
      <c r="J24" s="160">
        <f>+(Demand!J24+Demand!J25+Demand!J26)*0.6*'ERR &amp; Sensitivity Analysis'!$G$9</f>
        <v>203165.7978381951</v>
      </c>
      <c r="K24" s="160">
        <f>+(Demand!K24+Demand!K25+Demand!K26)*0.6*'ERR &amp; Sensitivity Analysis'!$G$9</f>
        <v>241169.38361299955</v>
      </c>
      <c r="L24" s="160">
        <f>+(Demand!L24+Demand!L25+Demand!L26)*0.6*'ERR &amp; Sensitivity Analysis'!$G$9</f>
        <v>286467.4810573038</v>
      </c>
      <c r="M24" s="160">
        <f>+(Demand!M24+Demand!M25+Demand!M26)*0.6*'ERR &amp; Sensitivity Analysis'!$G$9</f>
        <v>340478.9236415634</v>
      </c>
      <c r="N24" s="167">
        <f>+M24</f>
        <v>340478.9236415634</v>
      </c>
      <c r="O24" s="167">
        <f aca="true" t="shared" si="3" ref="O24:W24">+N24</f>
        <v>340478.9236415634</v>
      </c>
      <c r="P24" s="167">
        <f t="shared" si="3"/>
        <v>340478.9236415634</v>
      </c>
      <c r="Q24" s="167">
        <f t="shared" si="3"/>
        <v>340478.9236415634</v>
      </c>
      <c r="R24" s="167">
        <f t="shared" si="3"/>
        <v>340478.9236415634</v>
      </c>
      <c r="S24" s="167">
        <f t="shared" si="3"/>
        <v>340478.9236415634</v>
      </c>
      <c r="T24" s="167">
        <f t="shared" si="3"/>
        <v>340478.9236415634</v>
      </c>
      <c r="U24" s="167">
        <f t="shared" si="3"/>
        <v>340478.9236415634</v>
      </c>
      <c r="V24" s="167">
        <f t="shared" si="3"/>
        <v>340478.9236415634</v>
      </c>
      <c r="W24" s="167">
        <f t="shared" si="3"/>
        <v>340478.9236415634</v>
      </c>
      <c r="X24" s="161"/>
      <c r="Y24" s="160"/>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60"/>
      <c r="BI24" s="160"/>
      <c r="BJ24" s="160"/>
      <c r="BK24" s="160"/>
      <c r="BL24" s="160"/>
      <c r="BM24" s="160"/>
      <c r="BN24" s="160"/>
      <c r="BO24" s="160"/>
      <c r="BP24" s="160"/>
      <c r="BQ24" s="160"/>
      <c r="BR24" s="160"/>
      <c r="BS24" s="160"/>
      <c r="BT24" s="160"/>
      <c r="BU24" s="160"/>
      <c r="BV24" s="160"/>
      <c r="BW24" s="160"/>
      <c r="BX24" s="160"/>
      <c r="BY24" s="160"/>
      <c r="BZ24" s="160"/>
      <c r="CA24" s="160"/>
      <c r="CB24" s="160"/>
      <c r="CC24" s="160"/>
      <c r="CD24" s="160"/>
      <c r="CE24" s="160"/>
      <c r="CF24" s="160"/>
      <c r="CG24" s="160"/>
      <c r="CH24" s="160"/>
      <c r="CI24" s="160"/>
      <c r="CJ24" s="160"/>
      <c r="CK24" s="160"/>
      <c r="CL24" s="160"/>
      <c r="CM24" s="160"/>
      <c r="CN24" s="160"/>
      <c r="CO24" s="160"/>
      <c r="CP24" s="160"/>
      <c r="CQ24" s="160"/>
      <c r="CR24" s="160"/>
      <c r="CS24" s="160"/>
      <c r="CT24" s="160"/>
      <c r="CU24" s="160"/>
      <c r="CV24" s="160"/>
    </row>
    <row r="25" spans="1:100" ht="15">
      <c r="A25" s="63"/>
      <c r="B25" s="22"/>
      <c r="C25" s="21" t="s">
        <v>29</v>
      </c>
      <c r="D25" s="167">
        <f aca="true" t="shared" si="4" ref="D25:W25">SUM(D23:D24)</f>
        <v>2097752.8782931245</v>
      </c>
      <c r="E25" s="167">
        <f t="shared" si="4"/>
        <v>87232.37727110248</v>
      </c>
      <c r="F25" s="167">
        <f t="shared" si="4"/>
        <v>103111.10553940777</v>
      </c>
      <c r="G25" s="167">
        <f t="shared" si="4"/>
        <v>122004.77882963853</v>
      </c>
      <c r="H25" s="167">
        <f t="shared" si="4"/>
        <v>144493.5987413569</v>
      </c>
      <c r="I25" s="167">
        <f t="shared" si="4"/>
        <v>171270.96047501566</v>
      </c>
      <c r="J25" s="167">
        <f t="shared" si="4"/>
        <v>203165.7978381951</v>
      </c>
      <c r="K25" s="167">
        <f t="shared" si="4"/>
        <v>241169.38361299955</v>
      </c>
      <c r="L25" s="167">
        <f t="shared" si="4"/>
        <v>286467.4810573038</v>
      </c>
      <c r="M25" s="167">
        <f t="shared" si="4"/>
        <v>340478.9236415634</v>
      </c>
      <c r="N25" s="167">
        <f t="shared" si="4"/>
        <v>340478.9236415634</v>
      </c>
      <c r="O25" s="167">
        <f t="shared" si="4"/>
        <v>340478.9236415634</v>
      </c>
      <c r="P25" s="167">
        <f t="shared" si="4"/>
        <v>340478.9236415634</v>
      </c>
      <c r="Q25" s="167">
        <f t="shared" si="4"/>
        <v>340478.9236415634</v>
      </c>
      <c r="R25" s="167">
        <f t="shared" si="4"/>
        <v>340478.9236415634</v>
      </c>
      <c r="S25" s="167">
        <f t="shared" si="4"/>
        <v>340478.9236415634</v>
      </c>
      <c r="T25" s="167">
        <f t="shared" si="4"/>
        <v>340478.9236415634</v>
      </c>
      <c r="U25" s="167">
        <f t="shared" si="4"/>
        <v>340478.9236415634</v>
      </c>
      <c r="V25" s="167">
        <f t="shared" si="4"/>
        <v>340478.9236415634</v>
      </c>
      <c r="W25" s="167">
        <f t="shared" si="4"/>
        <v>340478.9236415634</v>
      </c>
      <c r="X25" s="161"/>
      <c r="Y25" s="160"/>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60"/>
      <c r="BI25" s="160"/>
      <c r="BJ25" s="160"/>
      <c r="BK25" s="160"/>
      <c r="BL25" s="160"/>
      <c r="BM25" s="160"/>
      <c r="BN25" s="160"/>
      <c r="BO25" s="160"/>
      <c r="BP25" s="160"/>
      <c r="BQ25" s="160"/>
      <c r="BR25" s="160"/>
      <c r="BS25" s="160"/>
      <c r="BT25" s="160"/>
      <c r="BU25" s="160"/>
      <c r="BV25" s="160"/>
      <c r="BW25" s="160"/>
      <c r="BX25" s="160"/>
      <c r="BY25" s="160"/>
      <c r="BZ25" s="160"/>
      <c r="CA25" s="160"/>
      <c r="CB25" s="160"/>
      <c r="CC25" s="160"/>
      <c r="CD25" s="160"/>
      <c r="CE25" s="160"/>
      <c r="CF25" s="160"/>
      <c r="CG25" s="160"/>
      <c r="CH25" s="160"/>
      <c r="CI25" s="160"/>
      <c r="CJ25" s="160"/>
      <c r="CK25" s="160"/>
      <c r="CL25" s="160"/>
      <c r="CM25" s="160"/>
      <c r="CN25" s="160"/>
      <c r="CO25" s="160"/>
      <c r="CP25" s="160"/>
      <c r="CQ25" s="160"/>
      <c r="CR25" s="160"/>
      <c r="CS25" s="160"/>
      <c r="CT25" s="160"/>
      <c r="CU25" s="160"/>
      <c r="CV25" s="160"/>
    </row>
    <row r="26" spans="1:100" ht="15">
      <c r="A26" s="63"/>
      <c r="B26" s="22"/>
      <c r="C26" s="20"/>
      <c r="D26" s="167"/>
      <c r="E26" s="160"/>
      <c r="F26" s="160"/>
      <c r="G26" s="160"/>
      <c r="H26" s="160"/>
      <c r="I26" s="160"/>
      <c r="J26" s="160"/>
      <c r="K26" s="160"/>
      <c r="L26" s="160"/>
      <c r="M26" s="160"/>
      <c r="N26" s="160"/>
      <c r="O26" s="160"/>
      <c r="P26" s="160"/>
      <c r="Q26" s="160"/>
      <c r="R26" s="160"/>
      <c r="S26" s="160"/>
      <c r="T26" s="160"/>
      <c r="U26" s="160"/>
      <c r="V26" s="160"/>
      <c r="W26" s="160"/>
      <c r="X26" s="161"/>
      <c r="Y26" s="160"/>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60"/>
      <c r="BI26" s="160"/>
      <c r="BJ26" s="160"/>
      <c r="BK26" s="160"/>
      <c r="BL26" s="160"/>
      <c r="BM26" s="160"/>
      <c r="BN26" s="160"/>
      <c r="BO26" s="160"/>
      <c r="BP26" s="160"/>
      <c r="BQ26" s="160"/>
      <c r="BR26" s="160"/>
      <c r="BS26" s="160"/>
      <c r="BT26" s="160"/>
      <c r="BU26" s="160"/>
      <c r="BV26" s="160"/>
      <c r="BW26" s="160"/>
      <c r="BX26" s="160"/>
      <c r="BY26" s="160"/>
      <c r="BZ26" s="160"/>
      <c r="CA26" s="160"/>
      <c r="CB26" s="160"/>
      <c r="CC26" s="160"/>
      <c r="CD26" s="160"/>
      <c r="CE26" s="160"/>
      <c r="CF26" s="160"/>
      <c r="CG26" s="160"/>
      <c r="CH26" s="160"/>
      <c r="CI26" s="160"/>
      <c r="CJ26" s="160"/>
      <c r="CK26" s="160"/>
      <c r="CL26" s="160"/>
      <c r="CM26" s="160"/>
      <c r="CN26" s="160"/>
      <c r="CO26" s="160"/>
      <c r="CP26" s="160"/>
      <c r="CQ26" s="160"/>
      <c r="CR26" s="160"/>
      <c r="CS26" s="160"/>
      <c r="CT26" s="160"/>
      <c r="CU26" s="160"/>
      <c r="CV26" s="160"/>
    </row>
    <row r="27" spans="1:100" ht="15">
      <c r="A27" s="63"/>
      <c r="B27" s="22" t="s">
        <v>35</v>
      </c>
      <c r="C27" s="163"/>
      <c r="D27" s="167"/>
      <c r="E27" s="160"/>
      <c r="F27" s="160"/>
      <c r="G27" s="160"/>
      <c r="H27" s="160"/>
      <c r="I27" s="160"/>
      <c r="J27" s="160"/>
      <c r="K27" s="160"/>
      <c r="L27" s="160"/>
      <c r="M27" s="160"/>
      <c r="N27" s="160"/>
      <c r="O27" s="160"/>
      <c r="P27" s="160"/>
      <c r="Q27" s="160"/>
      <c r="R27" s="160"/>
      <c r="S27" s="160"/>
      <c r="T27" s="160"/>
      <c r="U27" s="160"/>
      <c r="V27" s="160"/>
      <c r="W27" s="160"/>
      <c r="X27" s="161"/>
      <c r="Y27" s="160"/>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60"/>
      <c r="BI27" s="160"/>
      <c r="BJ27" s="160"/>
      <c r="BK27" s="160"/>
      <c r="BL27" s="160"/>
      <c r="BM27" s="160"/>
      <c r="BN27" s="160"/>
      <c r="BO27" s="160"/>
      <c r="BP27" s="160"/>
      <c r="BQ27" s="160"/>
      <c r="BR27" s="160"/>
      <c r="BS27" s="160"/>
      <c r="BT27" s="160"/>
      <c r="BU27" s="160"/>
      <c r="BV27" s="160"/>
      <c r="BW27" s="160"/>
      <c r="BX27" s="160"/>
      <c r="BY27" s="160"/>
      <c r="BZ27" s="160"/>
      <c r="CA27" s="160"/>
      <c r="CB27" s="160"/>
      <c r="CC27" s="160"/>
      <c r="CD27" s="160"/>
      <c r="CE27" s="160"/>
      <c r="CF27" s="160"/>
      <c r="CG27" s="160"/>
      <c r="CH27" s="160"/>
      <c r="CI27" s="160"/>
      <c r="CJ27" s="160"/>
      <c r="CK27" s="160"/>
      <c r="CL27" s="160"/>
      <c r="CM27" s="160"/>
      <c r="CN27" s="160"/>
      <c r="CO27" s="160"/>
      <c r="CP27" s="160"/>
      <c r="CQ27" s="160"/>
      <c r="CR27" s="160"/>
      <c r="CS27" s="160"/>
      <c r="CT27" s="160"/>
      <c r="CU27" s="160"/>
      <c r="CV27" s="160"/>
    </row>
    <row r="28" spans="1:100" ht="15">
      <c r="A28" s="63"/>
      <c r="B28" s="22"/>
      <c r="C28" s="163"/>
      <c r="D28" s="167"/>
      <c r="E28" s="160"/>
      <c r="F28" s="160"/>
      <c r="G28" s="160"/>
      <c r="H28" s="160"/>
      <c r="I28" s="160"/>
      <c r="J28" s="160"/>
      <c r="K28" s="160"/>
      <c r="L28" s="160"/>
      <c r="M28" s="160"/>
      <c r="N28" s="160"/>
      <c r="O28" s="160"/>
      <c r="P28" s="160"/>
      <c r="Q28" s="160"/>
      <c r="R28" s="160"/>
      <c r="S28" s="160"/>
      <c r="T28" s="160"/>
      <c r="U28" s="160"/>
      <c r="V28" s="160"/>
      <c r="W28" s="160"/>
      <c r="X28" s="161"/>
      <c r="Y28" s="160"/>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60"/>
      <c r="BI28" s="160"/>
      <c r="BJ28" s="160"/>
      <c r="BK28" s="160"/>
      <c r="BL28" s="160"/>
      <c r="BM28" s="160"/>
      <c r="BN28" s="160"/>
      <c r="BO28" s="160"/>
      <c r="BP28" s="160"/>
      <c r="BQ28" s="160"/>
      <c r="BR28" s="160"/>
      <c r="BS28" s="160"/>
      <c r="BT28" s="160"/>
      <c r="BU28" s="160"/>
      <c r="BV28" s="160"/>
      <c r="BW28" s="160"/>
      <c r="BX28" s="160"/>
      <c r="BY28" s="160"/>
      <c r="BZ28" s="160"/>
      <c r="CA28" s="160"/>
      <c r="CB28" s="160"/>
      <c r="CC28" s="160"/>
      <c r="CD28" s="160"/>
      <c r="CE28" s="160"/>
      <c r="CF28" s="160"/>
      <c r="CG28" s="160"/>
      <c r="CH28" s="160"/>
      <c r="CI28" s="160"/>
      <c r="CJ28" s="160"/>
      <c r="CK28" s="160"/>
      <c r="CL28" s="160"/>
      <c r="CM28" s="160"/>
      <c r="CN28" s="160"/>
      <c r="CO28" s="160"/>
      <c r="CP28" s="160"/>
      <c r="CQ28" s="160"/>
      <c r="CR28" s="160"/>
      <c r="CS28" s="160"/>
      <c r="CT28" s="160"/>
      <c r="CU28" s="160"/>
      <c r="CV28" s="160"/>
    </row>
    <row r="29" spans="1:100" ht="15">
      <c r="A29" s="63"/>
      <c r="B29" s="22"/>
      <c r="C29" s="20" t="s">
        <v>71</v>
      </c>
      <c r="D29" s="167">
        <f>+'Income Creation'!D25*'ERR &amp; Sensitivity Analysis'!$G$10</f>
        <v>760308.1200000001</v>
      </c>
      <c r="E29" s="167">
        <f>+'Income Creation'!E25*'ERR &amp; Sensitivity Analysis'!$G$10</f>
        <v>855451.3602741486</v>
      </c>
      <c r="F29" s="167">
        <f>+'Income Creation'!F25*'ERR &amp; Sensitivity Analysis'!$G$10</f>
        <v>964197.7313447895</v>
      </c>
      <c r="G29" s="167">
        <f>+'Income Creation'!G25*'ERR &amp; Sensitivity Analysis'!$G$10</f>
        <v>1088544.0849096086</v>
      </c>
      <c r="H29" s="167">
        <f>+'Income Creation'!H25*'ERR &amp; Sensitivity Analysis'!$G$10</f>
        <v>1230784.8613883376</v>
      </c>
      <c r="I29" s="167">
        <f>+'Income Creation'!I25*'ERR &amp; Sensitivity Analysis'!$G$10</f>
        <v>1393557.0032752773</v>
      </c>
      <c r="J29" s="167">
        <f>+'Income Creation'!J25*'ERR &amp; Sensitivity Analysis'!$G$10</f>
        <v>1579891.7208785135</v>
      </c>
      <c r="K29" s="167">
        <f>+'Income Creation'!K25*'ERR &amp; Sensitivity Analysis'!$G$10</f>
        <v>1793274.1655089865</v>
      </c>
      <c r="L29" s="167">
        <f>+'Income Creation'!L25*'ERR &amp; Sensitivity Analysis'!$G$10</f>
        <v>2037712.2288658083</v>
      </c>
      <c r="M29" s="167">
        <f>+'Income Creation'!M25*'ERR &amp; Sensitivity Analysis'!$G$10</f>
        <v>2266646.879342381</v>
      </c>
      <c r="N29" s="167">
        <f>+M29</f>
        <v>2266646.879342381</v>
      </c>
      <c r="O29" s="167">
        <f aca="true" t="shared" si="5" ref="O29:W29">+N29</f>
        <v>2266646.879342381</v>
      </c>
      <c r="P29" s="167">
        <f t="shared" si="5"/>
        <v>2266646.879342381</v>
      </c>
      <c r="Q29" s="167">
        <f t="shared" si="5"/>
        <v>2266646.879342381</v>
      </c>
      <c r="R29" s="167">
        <f t="shared" si="5"/>
        <v>2266646.879342381</v>
      </c>
      <c r="S29" s="167">
        <f t="shared" si="5"/>
        <v>2266646.879342381</v>
      </c>
      <c r="T29" s="167">
        <f t="shared" si="5"/>
        <v>2266646.879342381</v>
      </c>
      <c r="U29" s="167">
        <f t="shared" si="5"/>
        <v>2266646.879342381</v>
      </c>
      <c r="V29" s="167">
        <f t="shared" si="5"/>
        <v>2266646.879342381</v>
      </c>
      <c r="W29" s="167">
        <f t="shared" si="5"/>
        <v>2266646.879342381</v>
      </c>
      <c r="X29" s="161"/>
      <c r="Y29" s="160"/>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60"/>
      <c r="BI29" s="160"/>
      <c r="BJ29" s="160"/>
      <c r="BK29" s="160"/>
      <c r="BL29" s="160"/>
      <c r="BM29" s="160"/>
      <c r="BN29" s="160"/>
      <c r="BO29" s="160"/>
      <c r="BP29" s="160"/>
      <c r="BQ29" s="160"/>
      <c r="BR29" s="160"/>
      <c r="BS29" s="160"/>
      <c r="BT29" s="160"/>
      <c r="BU29" s="160"/>
      <c r="BV29" s="160"/>
      <c r="BW29" s="160"/>
      <c r="BX29" s="160"/>
      <c r="BY29" s="160"/>
      <c r="BZ29" s="160"/>
      <c r="CA29" s="160"/>
      <c r="CB29" s="160"/>
      <c r="CC29" s="160"/>
      <c r="CD29" s="160"/>
      <c r="CE29" s="160"/>
      <c r="CF29" s="160"/>
      <c r="CG29" s="160"/>
      <c r="CH29" s="160"/>
      <c r="CI29" s="160"/>
      <c r="CJ29" s="160"/>
      <c r="CK29" s="160"/>
      <c r="CL29" s="160"/>
      <c r="CM29" s="160"/>
      <c r="CN29" s="160"/>
      <c r="CO29" s="160"/>
      <c r="CP29" s="160"/>
      <c r="CQ29" s="160"/>
      <c r="CR29" s="160"/>
      <c r="CS29" s="160"/>
      <c r="CT29" s="160"/>
      <c r="CU29" s="160"/>
      <c r="CV29" s="160"/>
    </row>
    <row r="30" spans="1:100" ht="15">
      <c r="A30" s="63"/>
      <c r="B30" s="22"/>
      <c r="C30" s="20"/>
      <c r="D30" s="167"/>
      <c r="E30" s="160"/>
      <c r="F30" s="160"/>
      <c r="G30" s="160"/>
      <c r="H30" s="160"/>
      <c r="I30" s="160"/>
      <c r="J30" s="160"/>
      <c r="K30" s="160"/>
      <c r="L30" s="160"/>
      <c r="M30" s="160"/>
      <c r="N30" s="160"/>
      <c r="O30" s="160"/>
      <c r="P30" s="160"/>
      <c r="Q30" s="160"/>
      <c r="R30" s="160"/>
      <c r="S30" s="160"/>
      <c r="T30" s="160"/>
      <c r="U30" s="160"/>
      <c r="V30" s="160"/>
      <c r="W30" s="160"/>
      <c r="X30" s="161"/>
      <c r="Y30" s="160"/>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60"/>
      <c r="BI30" s="160"/>
      <c r="BJ30" s="160"/>
      <c r="BK30" s="160"/>
      <c r="BL30" s="160"/>
      <c r="BM30" s="160"/>
      <c r="BN30" s="160"/>
      <c r="BO30" s="160"/>
      <c r="BP30" s="160"/>
      <c r="BQ30" s="160"/>
      <c r="BR30" s="160"/>
      <c r="BS30" s="160"/>
      <c r="BT30" s="160"/>
      <c r="BU30" s="160"/>
      <c r="BV30" s="160"/>
      <c r="BW30" s="160"/>
      <c r="BX30" s="160"/>
      <c r="BY30" s="160"/>
      <c r="BZ30" s="160"/>
      <c r="CA30" s="160"/>
      <c r="CB30" s="160"/>
      <c r="CC30" s="160"/>
      <c r="CD30" s="160"/>
      <c r="CE30" s="160"/>
      <c r="CF30" s="160"/>
      <c r="CG30" s="160"/>
      <c r="CH30" s="160"/>
      <c r="CI30" s="160"/>
      <c r="CJ30" s="160"/>
      <c r="CK30" s="160"/>
      <c r="CL30" s="160"/>
      <c r="CM30" s="160"/>
      <c r="CN30" s="160"/>
      <c r="CO30" s="160"/>
      <c r="CP30" s="160"/>
      <c r="CQ30" s="160"/>
      <c r="CR30" s="160"/>
      <c r="CS30" s="160"/>
      <c r="CT30" s="160"/>
      <c r="CU30" s="160"/>
      <c r="CV30" s="160"/>
    </row>
    <row r="31" spans="1:100" ht="15">
      <c r="A31" s="63"/>
      <c r="B31" s="22" t="s">
        <v>31</v>
      </c>
      <c r="C31" s="19"/>
      <c r="D31" s="168">
        <f>+D29-D25</f>
        <v>-1337444.7582931244</v>
      </c>
      <c r="E31" s="168">
        <f aca="true" t="shared" si="6" ref="E31:W31">+E29-E25</f>
        <v>768218.9830030461</v>
      </c>
      <c r="F31" s="168">
        <f t="shared" si="6"/>
        <v>861086.6258053817</v>
      </c>
      <c r="G31" s="168">
        <f t="shared" si="6"/>
        <v>966539.3060799701</v>
      </c>
      <c r="H31" s="168">
        <f t="shared" si="6"/>
        <v>1086291.2626469806</v>
      </c>
      <c r="I31" s="168">
        <f t="shared" si="6"/>
        <v>1222286.0428002616</v>
      </c>
      <c r="J31" s="168">
        <f t="shared" si="6"/>
        <v>1376725.9230403183</v>
      </c>
      <c r="K31" s="168">
        <f t="shared" si="6"/>
        <v>1552104.781895987</v>
      </c>
      <c r="L31" s="168">
        <f t="shared" si="6"/>
        <v>1751244.7478085046</v>
      </c>
      <c r="M31" s="168">
        <f t="shared" si="6"/>
        <v>1926167.9557008175</v>
      </c>
      <c r="N31" s="168">
        <f t="shared" si="6"/>
        <v>1926167.9557008175</v>
      </c>
      <c r="O31" s="168">
        <f t="shared" si="6"/>
        <v>1926167.9557008175</v>
      </c>
      <c r="P31" s="168">
        <f t="shared" si="6"/>
        <v>1926167.9557008175</v>
      </c>
      <c r="Q31" s="168">
        <f t="shared" si="6"/>
        <v>1926167.9557008175</v>
      </c>
      <c r="R31" s="168">
        <f t="shared" si="6"/>
        <v>1926167.9557008175</v>
      </c>
      <c r="S31" s="168">
        <f t="shared" si="6"/>
        <v>1926167.9557008175</v>
      </c>
      <c r="T31" s="168">
        <f t="shared" si="6"/>
        <v>1926167.9557008175</v>
      </c>
      <c r="U31" s="168">
        <f t="shared" si="6"/>
        <v>1926167.9557008175</v>
      </c>
      <c r="V31" s="168">
        <f t="shared" si="6"/>
        <v>1926167.9557008175</v>
      </c>
      <c r="W31" s="168">
        <f t="shared" si="6"/>
        <v>1926167.9557008175</v>
      </c>
      <c r="X31" s="161"/>
      <c r="Y31" s="160"/>
      <c r="Z31" s="16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60"/>
      <c r="BI31" s="160"/>
      <c r="BJ31" s="160"/>
      <c r="BK31" s="160"/>
      <c r="BL31" s="160"/>
      <c r="BM31" s="160"/>
      <c r="BN31" s="160"/>
      <c r="BO31" s="160"/>
      <c r="BP31" s="160"/>
      <c r="BQ31" s="160"/>
      <c r="BR31" s="160"/>
      <c r="BS31" s="160"/>
      <c r="BT31" s="160"/>
      <c r="BU31" s="160"/>
      <c r="BV31" s="160"/>
      <c r="BW31" s="160"/>
      <c r="BX31" s="160"/>
      <c r="BY31" s="160"/>
      <c r="BZ31" s="160"/>
      <c r="CA31" s="160"/>
      <c r="CB31" s="160"/>
      <c r="CC31" s="160"/>
      <c r="CD31" s="160"/>
      <c r="CE31" s="160"/>
      <c r="CF31" s="160"/>
      <c r="CG31" s="160"/>
      <c r="CH31" s="160"/>
      <c r="CI31" s="160"/>
      <c r="CJ31" s="160"/>
      <c r="CK31" s="160"/>
      <c r="CL31" s="160"/>
      <c r="CM31" s="160"/>
      <c r="CN31" s="160"/>
      <c r="CO31" s="160"/>
      <c r="CP31" s="160"/>
      <c r="CQ31" s="160"/>
      <c r="CR31" s="160"/>
      <c r="CS31" s="160"/>
      <c r="CT31" s="160"/>
      <c r="CU31" s="160"/>
      <c r="CV31" s="160"/>
    </row>
    <row r="32" spans="1:100" s="166" customFormat="1" ht="15.75">
      <c r="A32" s="66"/>
      <c r="B32" s="22"/>
      <c r="C32" s="20" t="s">
        <v>0</v>
      </c>
      <c r="D32" s="162"/>
      <c r="E32" s="162"/>
      <c r="F32" s="162"/>
      <c r="G32" s="162"/>
      <c r="H32" s="162"/>
      <c r="I32" s="162"/>
      <c r="J32" s="162"/>
      <c r="K32" s="162"/>
      <c r="L32" s="162"/>
      <c r="M32" s="162"/>
      <c r="N32" s="162"/>
      <c r="O32" s="162"/>
      <c r="P32" s="162"/>
      <c r="Q32" s="162"/>
      <c r="R32" s="162"/>
      <c r="S32" s="162"/>
      <c r="T32" s="162"/>
      <c r="U32" s="162"/>
      <c r="V32" s="162"/>
      <c r="W32" s="162"/>
      <c r="X32" s="164"/>
      <c r="Y32" s="162"/>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5"/>
      <c r="BC32" s="165"/>
      <c r="BD32" s="165"/>
      <c r="BE32" s="165"/>
      <c r="BF32" s="165"/>
      <c r="BG32" s="165"/>
      <c r="BH32" s="162"/>
      <c r="BI32" s="162"/>
      <c r="BJ32" s="162"/>
      <c r="BK32" s="162"/>
      <c r="BL32" s="162"/>
      <c r="BM32" s="162"/>
      <c r="BN32" s="162"/>
      <c r="BO32" s="162"/>
      <c r="BP32" s="162"/>
      <c r="BQ32" s="162"/>
      <c r="BR32" s="162"/>
      <c r="BS32" s="162"/>
      <c r="BT32" s="162"/>
      <c r="BU32" s="162"/>
      <c r="BV32" s="162"/>
      <c r="BW32" s="162"/>
      <c r="BX32" s="162"/>
      <c r="BY32" s="162"/>
      <c r="BZ32" s="162"/>
      <c r="CA32" s="162"/>
      <c r="CB32" s="162"/>
      <c r="CC32" s="162"/>
      <c r="CD32" s="162"/>
      <c r="CE32" s="162"/>
      <c r="CF32" s="162"/>
      <c r="CG32" s="162"/>
      <c r="CH32" s="162"/>
      <c r="CI32" s="162"/>
      <c r="CJ32" s="162"/>
      <c r="CK32" s="162"/>
      <c r="CL32" s="162"/>
      <c r="CM32" s="162"/>
      <c r="CN32" s="162"/>
      <c r="CO32" s="162"/>
      <c r="CP32" s="162"/>
      <c r="CQ32" s="162"/>
      <c r="CR32" s="162"/>
      <c r="CS32" s="162"/>
      <c r="CT32" s="162"/>
      <c r="CU32" s="162"/>
      <c r="CV32" s="162"/>
    </row>
    <row r="33" spans="1:100" ht="15">
      <c r="A33" s="63"/>
      <c r="B33" s="22" t="s">
        <v>32</v>
      </c>
      <c r="C33" s="20"/>
      <c r="D33" s="160">
        <f aca="true" t="shared" si="7" ref="D33:W33">+D31-D16</f>
        <v>-2067729.7422931246</v>
      </c>
      <c r="E33" s="160">
        <f t="shared" si="7"/>
        <v>22727.83660304593</v>
      </c>
      <c r="F33" s="160">
        <f t="shared" si="7"/>
        <v>100085.19375738152</v>
      </c>
      <c r="G33" s="160">
        <f t="shared" si="7"/>
        <v>189717.38267100987</v>
      </c>
      <c r="H33" s="160">
        <f t="shared" si="7"/>
        <v>293332.4380498412</v>
      </c>
      <c r="I33" s="160">
        <f t="shared" si="7"/>
        <v>412867.57899117935</v>
      </c>
      <c r="J33" s="160">
        <f t="shared" si="7"/>
        <v>550518.6272350545</v>
      </c>
      <c r="K33" s="160">
        <f t="shared" si="7"/>
        <v>708772.8774546178</v>
      </c>
      <c r="L33" s="160">
        <f t="shared" si="7"/>
        <v>890445.742558308</v>
      </c>
      <c r="M33" s="160">
        <f t="shared" si="7"/>
        <v>1047552.5076256169</v>
      </c>
      <c r="N33" s="160">
        <f t="shared" si="7"/>
        <v>1029379.735944113</v>
      </c>
      <c r="O33" s="160">
        <f t="shared" si="7"/>
        <v>1010843.5088289788</v>
      </c>
      <c r="P33" s="160">
        <f t="shared" si="7"/>
        <v>991936.557171542</v>
      </c>
      <c r="Q33" s="160">
        <f t="shared" si="7"/>
        <v>972651.4664809564</v>
      </c>
      <c r="R33" s="160">
        <f t="shared" si="7"/>
        <v>952980.6739765592</v>
      </c>
      <c r="S33" s="160">
        <f t="shared" si="7"/>
        <v>932916.465622074</v>
      </c>
      <c r="T33" s="160">
        <f t="shared" si="7"/>
        <v>912450.9731004992</v>
      </c>
      <c r="U33" s="160">
        <f t="shared" si="7"/>
        <v>891576.1707284928</v>
      </c>
      <c r="V33" s="160">
        <f t="shared" si="7"/>
        <v>870283.8723090463</v>
      </c>
      <c r="W33" s="160">
        <f t="shared" si="7"/>
        <v>848565.7279212109</v>
      </c>
      <c r="X33" s="161"/>
      <c r="Y33" s="160"/>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60"/>
      <c r="BI33" s="160"/>
      <c r="BJ33" s="160"/>
      <c r="BK33" s="160"/>
      <c r="BL33" s="160"/>
      <c r="BM33" s="160"/>
      <c r="BN33" s="160"/>
      <c r="BO33" s="160"/>
      <c r="BP33" s="160"/>
      <c r="BQ33" s="160"/>
      <c r="BR33" s="160"/>
      <c r="BS33" s="160"/>
      <c r="BT33" s="160"/>
      <c r="BU33" s="160"/>
      <c r="BV33" s="160"/>
      <c r="BW33" s="160"/>
      <c r="BX33" s="160"/>
      <c r="BY33" s="160"/>
      <c r="BZ33" s="160"/>
      <c r="CA33" s="160"/>
      <c r="CB33" s="160"/>
      <c r="CC33" s="160"/>
      <c r="CD33" s="160"/>
      <c r="CE33" s="160"/>
      <c r="CF33" s="160"/>
      <c r="CG33" s="160"/>
      <c r="CH33" s="160"/>
      <c r="CI33" s="160"/>
      <c r="CJ33" s="160"/>
      <c r="CK33" s="160"/>
      <c r="CL33" s="160"/>
      <c r="CM33" s="160"/>
      <c r="CN33" s="160"/>
      <c r="CO33" s="160"/>
      <c r="CP33" s="160"/>
      <c r="CQ33" s="160"/>
      <c r="CR33" s="160"/>
      <c r="CS33" s="160"/>
      <c r="CT33" s="160"/>
      <c r="CU33" s="160"/>
      <c r="CV33" s="160"/>
    </row>
    <row r="34" spans="1:100" ht="15">
      <c r="A34" s="63"/>
      <c r="B34" s="22"/>
      <c r="C34" s="20"/>
      <c r="D34" s="160"/>
      <c r="E34" s="160"/>
      <c r="F34" s="160"/>
      <c r="G34" s="160"/>
      <c r="H34" s="160"/>
      <c r="I34" s="160"/>
      <c r="J34" s="160"/>
      <c r="K34" s="160"/>
      <c r="L34" s="160"/>
      <c r="M34" s="160"/>
      <c r="N34" s="160"/>
      <c r="O34" s="160"/>
      <c r="P34" s="160"/>
      <c r="Q34" s="160"/>
      <c r="R34" s="160"/>
      <c r="S34" s="160"/>
      <c r="T34" s="160"/>
      <c r="U34" s="160"/>
      <c r="V34" s="160"/>
      <c r="W34" s="160"/>
      <c r="X34" s="161"/>
      <c r="Y34" s="160"/>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60"/>
      <c r="BI34" s="160"/>
      <c r="BJ34" s="160"/>
      <c r="BK34" s="160"/>
      <c r="BL34" s="160"/>
      <c r="BM34" s="160"/>
      <c r="BN34" s="160"/>
      <c r="BO34" s="160"/>
      <c r="BP34" s="160"/>
      <c r="BQ34" s="160"/>
      <c r="BR34" s="160"/>
      <c r="BS34" s="160"/>
      <c r="BT34" s="160"/>
      <c r="BU34" s="160"/>
      <c r="BV34" s="160"/>
      <c r="BW34" s="160"/>
      <c r="BX34" s="160"/>
      <c r="BY34" s="160"/>
      <c r="BZ34" s="160"/>
      <c r="CA34" s="160"/>
      <c r="CB34" s="160"/>
      <c r="CC34" s="160"/>
      <c r="CD34" s="160"/>
      <c r="CE34" s="160"/>
      <c r="CF34" s="160"/>
      <c r="CG34" s="160"/>
      <c r="CH34" s="160"/>
      <c r="CI34" s="160"/>
      <c r="CJ34" s="160"/>
      <c r="CK34" s="160"/>
      <c r="CL34" s="160"/>
      <c r="CM34" s="160"/>
      <c r="CN34" s="160"/>
      <c r="CO34" s="160"/>
      <c r="CP34" s="160"/>
      <c r="CQ34" s="160"/>
      <c r="CR34" s="160"/>
      <c r="CS34" s="160"/>
      <c r="CT34" s="160"/>
      <c r="CU34" s="160"/>
      <c r="CV34" s="160"/>
    </row>
    <row r="35" spans="1:100" ht="15">
      <c r="A35" s="63"/>
      <c r="B35" s="22" t="s">
        <v>33</v>
      </c>
      <c r="C35" s="20"/>
      <c r="D35" s="169">
        <f>IRR(D33:W33)</f>
        <v>0.20121688761484813</v>
      </c>
      <c r="E35" s="170"/>
      <c r="F35" s="170"/>
      <c r="G35" s="170"/>
      <c r="H35" s="170"/>
      <c r="I35" s="170"/>
      <c r="J35" s="170"/>
      <c r="K35" s="170"/>
      <c r="L35" s="170"/>
      <c r="M35" s="170"/>
      <c r="N35" s="170"/>
      <c r="O35" s="170"/>
      <c r="P35" s="170"/>
      <c r="Q35" s="170"/>
      <c r="R35" s="170"/>
      <c r="S35" s="170"/>
      <c r="T35" s="170"/>
      <c r="U35" s="170"/>
      <c r="V35" s="170"/>
      <c r="W35" s="170"/>
      <c r="X35" s="161"/>
      <c r="Y35" s="160"/>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60"/>
      <c r="BI35" s="160"/>
      <c r="BJ35" s="160"/>
      <c r="BK35" s="160"/>
      <c r="BL35" s="160"/>
      <c r="BM35" s="160"/>
      <c r="BN35" s="160"/>
      <c r="BO35" s="160"/>
      <c r="BP35" s="160"/>
      <c r="BQ35" s="160"/>
      <c r="BR35" s="160"/>
      <c r="BS35" s="160"/>
      <c r="BT35" s="160"/>
      <c r="BU35" s="160"/>
      <c r="BV35" s="160"/>
      <c r="BW35" s="160"/>
      <c r="BX35" s="160"/>
      <c r="BY35" s="160"/>
      <c r="BZ35" s="160"/>
      <c r="CA35" s="160"/>
      <c r="CB35" s="160"/>
      <c r="CC35" s="160"/>
      <c r="CD35" s="160"/>
      <c r="CE35" s="160"/>
      <c r="CF35" s="160"/>
      <c r="CG35" s="160"/>
      <c r="CH35" s="160"/>
      <c r="CI35" s="160"/>
      <c r="CJ35" s="160"/>
      <c r="CK35" s="160"/>
      <c r="CL35" s="160"/>
      <c r="CM35" s="160"/>
      <c r="CN35" s="160"/>
      <c r="CO35" s="160"/>
      <c r="CP35" s="160"/>
      <c r="CQ35" s="160"/>
      <c r="CR35" s="160"/>
      <c r="CS35" s="160"/>
      <c r="CT35" s="160"/>
      <c r="CU35" s="160"/>
      <c r="CV35" s="160"/>
    </row>
    <row r="36" spans="1:100" ht="15">
      <c r="A36" s="63"/>
      <c r="B36" s="22"/>
      <c r="C36" s="20"/>
      <c r="D36" s="170"/>
      <c r="E36" s="170"/>
      <c r="F36" s="170"/>
      <c r="G36" s="170"/>
      <c r="H36" s="170"/>
      <c r="I36" s="170"/>
      <c r="J36" s="170"/>
      <c r="K36" s="170"/>
      <c r="L36" s="170"/>
      <c r="M36" s="170"/>
      <c r="N36" s="170"/>
      <c r="O36" s="170"/>
      <c r="P36" s="170"/>
      <c r="Q36" s="170"/>
      <c r="R36" s="170"/>
      <c r="S36" s="170"/>
      <c r="T36" s="170"/>
      <c r="U36" s="170"/>
      <c r="V36" s="170"/>
      <c r="W36" s="170"/>
      <c r="X36" s="161"/>
      <c r="Y36" s="160"/>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60"/>
      <c r="BI36" s="160"/>
      <c r="BJ36" s="160"/>
      <c r="BK36" s="160"/>
      <c r="BL36" s="160"/>
      <c r="BM36" s="160"/>
      <c r="BN36" s="160"/>
      <c r="BO36" s="160"/>
      <c r="BP36" s="160"/>
      <c r="BQ36" s="160"/>
      <c r="BR36" s="160"/>
      <c r="BS36" s="160"/>
      <c r="BT36" s="160"/>
      <c r="BU36" s="160"/>
      <c r="BV36" s="160"/>
      <c r="BW36" s="160"/>
      <c r="BX36" s="160"/>
      <c r="BY36" s="160"/>
      <c r="BZ36" s="160"/>
      <c r="CA36" s="160"/>
      <c r="CB36" s="160"/>
      <c r="CC36" s="160"/>
      <c r="CD36" s="160"/>
      <c r="CE36" s="160"/>
      <c r="CF36" s="160"/>
      <c r="CG36" s="160"/>
      <c r="CH36" s="160"/>
      <c r="CI36" s="160"/>
      <c r="CJ36" s="160"/>
      <c r="CK36" s="160"/>
      <c r="CL36" s="160"/>
      <c r="CM36" s="160"/>
      <c r="CN36" s="160"/>
      <c r="CO36" s="160"/>
      <c r="CP36" s="160"/>
      <c r="CQ36" s="160"/>
      <c r="CR36" s="160"/>
      <c r="CS36" s="160"/>
      <c r="CT36" s="160"/>
      <c r="CU36" s="160"/>
      <c r="CV36" s="160"/>
    </row>
    <row r="37" spans="1:100" ht="15.75" thickBot="1">
      <c r="A37" s="63"/>
      <c r="B37" s="22"/>
      <c r="C37" s="48"/>
      <c r="D37" s="171"/>
      <c r="E37" s="171"/>
      <c r="F37" s="171"/>
      <c r="G37" s="171"/>
      <c r="H37" s="171"/>
      <c r="I37" s="171"/>
      <c r="J37" s="171"/>
      <c r="K37" s="171"/>
      <c r="L37" s="171"/>
      <c r="M37" s="171"/>
      <c r="N37" s="171"/>
      <c r="O37" s="171"/>
      <c r="P37" s="171"/>
      <c r="Q37" s="171"/>
      <c r="R37" s="171"/>
      <c r="S37" s="171"/>
      <c r="T37" s="171"/>
      <c r="U37" s="171"/>
      <c r="V37" s="171"/>
      <c r="W37" s="171"/>
      <c r="X37" s="161"/>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0"/>
      <c r="BQ37" s="160"/>
      <c r="BR37" s="160"/>
      <c r="BS37" s="160"/>
      <c r="BT37" s="160"/>
      <c r="BU37" s="160"/>
      <c r="BV37" s="160"/>
      <c r="BW37" s="160"/>
      <c r="BX37" s="160"/>
      <c r="BY37" s="160"/>
      <c r="BZ37" s="160"/>
      <c r="CA37" s="160"/>
      <c r="CB37" s="160"/>
      <c r="CC37" s="160"/>
      <c r="CD37" s="160"/>
      <c r="CE37" s="160"/>
      <c r="CF37" s="160"/>
      <c r="CG37" s="160"/>
      <c r="CH37" s="160"/>
      <c r="CI37" s="160"/>
      <c r="CJ37" s="160"/>
      <c r="CK37" s="160"/>
      <c r="CL37" s="160"/>
      <c r="CM37" s="160"/>
      <c r="CN37" s="160"/>
      <c r="CO37" s="160"/>
      <c r="CP37" s="160"/>
      <c r="CQ37" s="160"/>
      <c r="CR37" s="160"/>
      <c r="CS37" s="160"/>
      <c r="CT37" s="160"/>
      <c r="CU37" s="160"/>
      <c r="CV37" s="160"/>
    </row>
    <row r="38" spans="1:100" ht="15">
      <c r="A38" s="63"/>
      <c r="B38" s="172"/>
      <c r="C38" s="173"/>
      <c r="D38" s="174"/>
      <c r="E38" s="174"/>
      <c r="F38" s="174"/>
      <c r="G38" s="174"/>
      <c r="H38" s="174"/>
      <c r="I38" s="174"/>
      <c r="J38" s="174"/>
      <c r="K38" s="174"/>
      <c r="L38" s="174"/>
      <c r="M38" s="174"/>
      <c r="N38" s="174"/>
      <c r="O38" s="174"/>
      <c r="P38" s="174"/>
      <c r="Q38" s="174"/>
      <c r="R38" s="174"/>
      <c r="S38" s="174"/>
      <c r="T38" s="174"/>
      <c r="U38" s="174"/>
      <c r="V38" s="174"/>
      <c r="W38" s="174"/>
      <c r="X38" s="161"/>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0"/>
      <c r="BQ38" s="160"/>
      <c r="BR38" s="160"/>
      <c r="BS38" s="160"/>
      <c r="BT38" s="160"/>
      <c r="BU38" s="160"/>
      <c r="BV38" s="160"/>
      <c r="BW38" s="160"/>
      <c r="BX38" s="160"/>
      <c r="BY38" s="160"/>
      <c r="BZ38" s="160"/>
      <c r="CA38" s="160"/>
      <c r="CB38" s="160"/>
      <c r="CC38" s="160"/>
      <c r="CD38" s="160"/>
      <c r="CE38" s="160"/>
      <c r="CF38" s="160"/>
      <c r="CG38" s="160"/>
      <c r="CH38" s="160"/>
      <c r="CI38" s="160"/>
      <c r="CJ38" s="160"/>
      <c r="CK38" s="160"/>
      <c r="CL38" s="160"/>
      <c r="CM38" s="160"/>
      <c r="CN38" s="160"/>
      <c r="CO38" s="160"/>
      <c r="CP38" s="160"/>
      <c r="CQ38" s="160"/>
      <c r="CR38" s="160"/>
      <c r="CS38" s="160"/>
      <c r="CT38" s="160"/>
      <c r="CU38" s="160"/>
      <c r="CV38" s="160"/>
    </row>
    <row r="39" spans="1:100" ht="15">
      <c r="A39" s="63"/>
      <c r="B39" s="175">
        <v>1</v>
      </c>
      <c r="C39" s="48" t="s">
        <v>75</v>
      </c>
      <c r="D39" s="176"/>
      <c r="E39" s="157"/>
      <c r="F39" s="157"/>
      <c r="G39" s="157"/>
      <c r="H39" s="176"/>
      <c r="I39" s="176"/>
      <c r="J39" s="176"/>
      <c r="K39" s="176"/>
      <c r="L39" s="176"/>
      <c r="M39" s="176"/>
      <c r="N39" s="176"/>
      <c r="O39" s="176"/>
      <c r="P39" s="176"/>
      <c r="Q39" s="176"/>
      <c r="R39" s="176"/>
      <c r="S39" s="176"/>
      <c r="T39" s="176"/>
      <c r="U39" s="176"/>
      <c r="V39" s="176"/>
      <c r="W39" s="176"/>
      <c r="X39" s="161"/>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0"/>
      <c r="BQ39" s="160"/>
      <c r="BR39" s="160"/>
      <c r="BS39" s="160"/>
      <c r="BT39" s="160"/>
      <c r="BU39" s="160"/>
      <c r="BV39" s="160"/>
      <c r="BW39" s="160"/>
      <c r="BX39" s="160"/>
      <c r="BY39" s="160"/>
      <c r="BZ39" s="160"/>
      <c r="CA39" s="160"/>
      <c r="CB39" s="160"/>
      <c r="CC39" s="160"/>
      <c r="CD39" s="160"/>
      <c r="CE39" s="160"/>
      <c r="CF39" s="160"/>
      <c r="CG39" s="160"/>
      <c r="CH39" s="160"/>
      <c r="CI39" s="160"/>
      <c r="CJ39" s="160"/>
      <c r="CK39" s="160"/>
      <c r="CL39" s="160"/>
      <c r="CM39" s="160"/>
      <c r="CN39" s="160"/>
      <c r="CO39" s="160"/>
      <c r="CP39" s="160"/>
      <c r="CQ39" s="160"/>
      <c r="CR39" s="160"/>
      <c r="CS39" s="160"/>
      <c r="CT39" s="160"/>
      <c r="CU39" s="160"/>
      <c r="CV39" s="160"/>
    </row>
    <row r="40" spans="1:100" ht="15">
      <c r="A40" s="63"/>
      <c r="B40" s="175">
        <v>2</v>
      </c>
      <c r="C40" s="48" t="s">
        <v>74</v>
      </c>
      <c r="D40" s="177"/>
      <c r="E40" s="178"/>
      <c r="F40" s="178"/>
      <c r="G40" s="178"/>
      <c r="H40" s="177"/>
      <c r="I40" s="177"/>
      <c r="J40" s="177"/>
      <c r="K40" s="177"/>
      <c r="L40" s="177"/>
      <c r="M40" s="177"/>
      <c r="N40" s="177"/>
      <c r="O40" s="177"/>
      <c r="P40" s="177"/>
      <c r="Q40" s="177"/>
      <c r="R40" s="177"/>
      <c r="S40" s="177"/>
      <c r="T40" s="177"/>
      <c r="U40" s="177"/>
      <c r="V40" s="177"/>
      <c r="W40" s="177"/>
      <c r="X40" s="161"/>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0"/>
      <c r="BQ40" s="160"/>
      <c r="BR40" s="160"/>
      <c r="BS40" s="160"/>
      <c r="BT40" s="160"/>
      <c r="BU40" s="160"/>
      <c r="BV40" s="160"/>
      <c r="BW40" s="160"/>
      <c r="BX40" s="160"/>
      <c r="BY40" s="160"/>
      <c r="BZ40" s="160"/>
      <c r="CA40" s="160"/>
      <c r="CB40" s="160"/>
      <c r="CC40" s="160"/>
      <c r="CD40" s="160"/>
      <c r="CE40" s="160"/>
      <c r="CF40" s="160"/>
      <c r="CG40" s="160"/>
      <c r="CH40" s="160"/>
      <c r="CI40" s="160"/>
      <c r="CJ40" s="160"/>
      <c r="CK40" s="160"/>
      <c r="CL40" s="160"/>
      <c r="CM40" s="160"/>
      <c r="CN40" s="160"/>
      <c r="CO40" s="160"/>
      <c r="CP40" s="160"/>
      <c r="CQ40" s="160"/>
      <c r="CR40" s="160"/>
      <c r="CS40" s="160"/>
      <c r="CT40" s="160"/>
      <c r="CU40" s="160"/>
      <c r="CV40" s="160"/>
    </row>
    <row r="41" spans="1:100" ht="15">
      <c r="A41" s="63"/>
      <c r="B41" s="175"/>
      <c r="C41" s="48"/>
      <c r="D41" s="179"/>
      <c r="E41" s="179"/>
      <c r="F41" s="160"/>
      <c r="G41" s="160"/>
      <c r="H41" s="160"/>
      <c r="I41" s="160"/>
      <c r="J41" s="160"/>
      <c r="K41" s="160"/>
      <c r="L41" s="160"/>
      <c r="M41" s="160"/>
      <c r="N41" s="160"/>
      <c r="O41" s="160"/>
      <c r="P41" s="160"/>
      <c r="Q41" s="160"/>
      <c r="R41" s="160"/>
      <c r="S41" s="160"/>
      <c r="T41" s="160"/>
      <c r="U41" s="160"/>
      <c r="V41" s="160"/>
      <c r="W41" s="160"/>
      <c r="X41" s="161"/>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0"/>
      <c r="BQ41" s="160"/>
      <c r="BR41" s="160"/>
      <c r="BS41" s="160"/>
      <c r="BT41" s="160"/>
      <c r="BU41" s="160"/>
      <c r="BV41" s="160"/>
      <c r="BW41" s="160"/>
      <c r="BX41" s="160"/>
      <c r="BY41" s="160"/>
      <c r="BZ41" s="160"/>
      <c r="CA41" s="160"/>
      <c r="CB41" s="160"/>
      <c r="CC41" s="160"/>
      <c r="CD41" s="160"/>
      <c r="CE41" s="160"/>
      <c r="CF41" s="160"/>
      <c r="CG41" s="160"/>
      <c r="CH41" s="160"/>
      <c r="CI41" s="160"/>
      <c r="CJ41" s="160"/>
      <c r="CK41" s="160"/>
      <c r="CL41" s="160"/>
      <c r="CM41" s="160"/>
      <c r="CN41" s="160"/>
      <c r="CO41" s="160"/>
      <c r="CP41" s="160"/>
      <c r="CQ41" s="160"/>
      <c r="CR41" s="160"/>
      <c r="CS41" s="160"/>
      <c r="CT41" s="160"/>
      <c r="CU41" s="160"/>
      <c r="CV41" s="160"/>
    </row>
    <row r="42" spans="1:100" ht="15.75" thickBot="1">
      <c r="A42" s="67"/>
      <c r="B42" s="180"/>
      <c r="C42" s="181"/>
      <c r="D42" s="182"/>
      <c r="E42" s="182"/>
      <c r="F42" s="182"/>
      <c r="G42" s="182"/>
      <c r="H42" s="182"/>
      <c r="I42" s="182"/>
      <c r="J42" s="182"/>
      <c r="K42" s="182"/>
      <c r="L42" s="182"/>
      <c r="M42" s="182"/>
      <c r="N42" s="182"/>
      <c r="O42" s="182"/>
      <c r="P42" s="182"/>
      <c r="Q42" s="182"/>
      <c r="R42" s="182"/>
      <c r="S42" s="182"/>
      <c r="T42" s="182"/>
      <c r="U42" s="182"/>
      <c r="V42" s="182"/>
      <c r="W42" s="182"/>
      <c r="X42" s="183"/>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0"/>
      <c r="AU42" s="160"/>
      <c r="AV42" s="160"/>
      <c r="AW42" s="160"/>
      <c r="AX42" s="160"/>
      <c r="AY42" s="160"/>
      <c r="AZ42" s="160"/>
      <c r="BA42" s="160"/>
      <c r="BB42" s="160"/>
      <c r="BC42" s="160"/>
      <c r="BD42" s="160"/>
      <c r="BE42" s="160"/>
      <c r="BF42" s="160"/>
      <c r="BG42" s="160"/>
      <c r="BH42" s="160"/>
      <c r="BI42" s="160"/>
      <c r="BJ42" s="160"/>
      <c r="BK42" s="160"/>
      <c r="BL42" s="160"/>
      <c r="BM42" s="160"/>
      <c r="BN42" s="160"/>
      <c r="BO42" s="160"/>
      <c r="BP42" s="160"/>
      <c r="BQ42" s="160"/>
      <c r="BR42" s="160"/>
      <c r="BS42" s="160"/>
      <c r="BT42" s="160"/>
      <c r="BU42" s="160"/>
      <c r="BV42" s="160"/>
      <c r="BW42" s="160"/>
      <c r="BX42" s="160"/>
      <c r="BY42" s="160"/>
      <c r="BZ42" s="160"/>
      <c r="CA42" s="160"/>
      <c r="CB42" s="160"/>
      <c r="CC42" s="160"/>
      <c r="CD42" s="160"/>
      <c r="CE42" s="160"/>
      <c r="CF42" s="160"/>
      <c r="CG42" s="160"/>
      <c r="CH42" s="160"/>
      <c r="CI42" s="160"/>
      <c r="CJ42" s="160"/>
      <c r="CK42" s="160"/>
      <c r="CL42" s="160"/>
      <c r="CM42" s="160"/>
      <c r="CN42" s="160"/>
      <c r="CO42" s="160"/>
      <c r="CP42" s="160"/>
      <c r="CQ42" s="160"/>
      <c r="CR42" s="160"/>
      <c r="CS42" s="160"/>
      <c r="CT42" s="160"/>
      <c r="CU42" s="160"/>
      <c r="CV42" s="160"/>
    </row>
    <row r="43" spans="4:100" ht="15.75" thickTop="1">
      <c r="D43" s="184"/>
      <c r="E43" s="184"/>
      <c r="F43" s="184"/>
      <c r="G43" s="184"/>
      <c r="H43" s="184"/>
      <c r="I43" s="184"/>
      <c r="J43" s="184"/>
      <c r="K43" s="184"/>
      <c r="L43" s="184"/>
      <c r="M43" s="184"/>
      <c r="N43" s="184"/>
      <c r="O43" s="184"/>
      <c r="P43" s="184"/>
      <c r="Q43" s="184"/>
      <c r="R43" s="184"/>
      <c r="S43" s="184"/>
      <c r="T43" s="184"/>
      <c r="U43" s="184"/>
      <c r="V43" s="184"/>
      <c r="W43" s="184"/>
      <c r="X43" s="160"/>
      <c r="Y43" s="160"/>
      <c r="Z43" s="160"/>
      <c r="AA43" s="160"/>
      <c r="AB43" s="160"/>
      <c r="AC43" s="160"/>
      <c r="AD43" s="160"/>
      <c r="AE43" s="160"/>
      <c r="AF43" s="160"/>
      <c r="AG43" s="160"/>
      <c r="AH43" s="160"/>
      <c r="AI43" s="160"/>
      <c r="AJ43" s="160"/>
      <c r="AK43" s="160"/>
      <c r="AL43" s="160"/>
      <c r="AM43" s="160"/>
      <c r="AN43" s="160"/>
      <c r="AO43" s="160"/>
      <c r="AP43" s="160"/>
      <c r="AQ43" s="160"/>
      <c r="AR43" s="160"/>
      <c r="AS43" s="160"/>
      <c r="AT43" s="160"/>
      <c r="AU43" s="160"/>
      <c r="AV43" s="160"/>
      <c r="AW43" s="160"/>
      <c r="AX43" s="160"/>
      <c r="AY43" s="160"/>
      <c r="AZ43" s="160"/>
      <c r="BA43" s="160"/>
      <c r="BB43" s="160"/>
      <c r="BC43" s="160"/>
      <c r="BD43" s="160"/>
      <c r="BE43" s="160"/>
      <c r="BF43" s="160"/>
      <c r="BG43" s="160"/>
      <c r="BH43" s="160"/>
      <c r="BI43" s="160"/>
      <c r="BJ43" s="160"/>
      <c r="BK43" s="160"/>
      <c r="BL43" s="160"/>
      <c r="BM43" s="160"/>
      <c r="BN43" s="160"/>
      <c r="BO43" s="160"/>
      <c r="BP43" s="160"/>
      <c r="BQ43" s="160"/>
      <c r="BR43" s="160"/>
      <c r="BS43" s="160"/>
      <c r="BT43" s="160"/>
      <c r="BU43" s="160"/>
      <c r="BV43" s="160"/>
      <c r="BW43" s="160"/>
      <c r="BX43" s="160"/>
      <c r="BY43" s="160"/>
      <c r="BZ43" s="160"/>
      <c r="CA43" s="160"/>
      <c r="CB43" s="160"/>
      <c r="CC43" s="160"/>
      <c r="CD43" s="160"/>
      <c r="CE43" s="160"/>
      <c r="CF43" s="160"/>
      <c r="CG43" s="160"/>
      <c r="CH43" s="160"/>
      <c r="CI43" s="160"/>
      <c r="CJ43" s="160"/>
      <c r="CK43" s="160"/>
      <c r="CL43" s="160"/>
      <c r="CM43" s="160"/>
      <c r="CN43" s="160"/>
      <c r="CO43" s="160"/>
      <c r="CP43" s="160"/>
      <c r="CQ43" s="160"/>
      <c r="CR43" s="160"/>
      <c r="CS43" s="160"/>
      <c r="CT43" s="160"/>
      <c r="CU43" s="160"/>
      <c r="CV43" s="160"/>
    </row>
    <row r="44" spans="2:100" ht="15">
      <c r="B44" s="166" t="s">
        <v>122</v>
      </c>
      <c r="D44" s="184"/>
      <c r="E44" s="184"/>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0"/>
      <c r="AX44" s="160"/>
      <c r="AY44" s="160"/>
      <c r="AZ44" s="160"/>
      <c r="BA44" s="160"/>
      <c r="BB44" s="160"/>
      <c r="BC44" s="160"/>
      <c r="BD44" s="160"/>
      <c r="BE44" s="160"/>
      <c r="BF44" s="160"/>
      <c r="BG44" s="160"/>
      <c r="BH44" s="160"/>
      <c r="BI44" s="160"/>
      <c r="BJ44" s="160"/>
      <c r="BK44" s="160"/>
      <c r="BL44" s="160"/>
      <c r="BM44" s="160"/>
      <c r="BN44" s="160"/>
      <c r="BO44" s="160"/>
      <c r="BP44" s="160"/>
      <c r="BQ44" s="160"/>
      <c r="BR44" s="160"/>
      <c r="BS44" s="160"/>
      <c r="BT44" s="160"/>
      <c r="BU44" s="160"/>
      <c r="BV44" s="160"/>
      <c r="BW44" s="160"/>
      <c r="BX44" s="160"/>
      <c r="BY44" s="160"/>
      <c r="BZ44" s="160"/>
      <c r="CA44" s="160"/>
      <c r="CB44" s="160"/>
      <c r="CC44" s="160"/>
      <c r="CD44" s="160"/>
      <c r="CE44" s="160"/>
      <c r="CF44" s="160"/>
      <c r="CG44" s="160"/>
      <c r="CH44" s="160"/>
      <c r="CI44" s="160"/>
      <c r="CJ44" s="160"/>
      <c r="CK44" s="160"/>
      <c r="CL44" s="160"/>
      <c r="CM44" s="160"/>
      <c r="CN44" s="160"/>
      <c r="CO44" s="160"/>
      <c r="CP44" s="160"/>
      <c r="CQ44" s="160"/>
      <c r="CR44" s="160"/>
      <c r="CS44" s="160"/>
      <c r="CT44" s="160"/>
      <c r="CU44" s="160"/>
      <c r="CV44" s="160"/>
    </row>
    <row r="45" spans="2:100" ht="15">
      <c r="B45" s="48" t="s">
        <v>117</v>
      </c>
      <c r="C45" s="22"/>
      <c r="D45" s="185">
        <f>'ERR &amp; Sensitivity Analysis'!G9</f>
        <v>1</v>
      </c>
      <c r="E45" s="176"/>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0"/>
      <c r="AZ45" s="160"/>
      <c r="BA45" s="160"/>
      <c r="BB45" s="160"/>
      <c r="BC45" s="160"/>
      <c r="BD45" s="160"/>
      <c r="BE45" s="160"/>
      <c r="BF45" s="160"/>
      <c r="BG45" s="160"/>
      <c r="BH45" s="160"/>
      <c r="BI45" s="160"/>
      <c r="BJ45" s="160"/>
      <c r="BK45" s="160"/>
      <c r="BL45" s="160"/>
      <c r="BM45" s="160"/>
      <c r="BN45" s="160"/>
      <c r="BO45" s="160"/>
      <c r="BP45" s="160"/>
      <c r="BQ45" s="160"/>
      <c r="BR45" s="160"/>
      <c r="BS45" s="160"/>
      <c r="BT45" s="160"/>
      <c r="BU45" s="160"/>
      <c r="BV45" s="160"/>
      <c r="BW45" s="160"/>
      <c r="BX45" s="160"/>
      <c r="BY45" s="160"/>
      <c r="BZ45" s="160"/>
      <c r="CA45" s="160"/>
      <c r="CB45" s="160"/>
      <c r="CC45" s="160"/>
      <c r="CD45" s="160"/>
      <c r="CE45" s="160"/>
      <c r="CF45" s="160"/>
      <c r="CG45" s="160"/>
      <c r="CH45" s="160"/>
      <c r="CI45" s="160"/>
      <c r="CJ45" s="160"/>
      <c r="CK45" s="160"/>
      <c r="CL45" s="160"/>
      <c r="CM45" s="160"/>
      <c r="CN45" s="160"/>
      <c r="CO45" s="160"/>
      <c r="CP45" s="160"/>
      <c r="CQ45" s="160"/>
      <c r="CR45" s="160"/>
      <c r="CS45" s="160"/>
      <c r="CT45" s="160"/>
      <c r="CU45" s="160"/>
      <c r="CV45" s="160"/>
    </row>
    <row r="46" spans="2:100" ht="15">
      <c r="B46" s="22"/>
      <c r="C46" s="48"/>
      <c r="D46" s="171"/>
      <c r="E46" s="171"/>
      <c r="F46" s="171"/>
      <c r="G46" s="171"/>
      <c r="H46" s="171"/>
      <c r="I46" s="171"/>
      <c r="J46" s="171"/>
      <c r="K46" s="171"/>
      <c r="L46" s="171"/>
      <c r="M46" s="171"/>
      <c r="N46" s="171"/>
      <c r="O46" s="171"/>
      <c r="P46" s="171"/>
      <c r="Q46" s="171"/>
      <c r="R46" s="171"/>
      <c r="S46" s="171"/>
      <c r="T46" s="171"/>
      <c r="U46" s="171"/>
      <c r="V46" s="171"/>
      <c r="W46" s="171"/>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0"/>
      <c r="BQ46" s="160"/>
      <c r="BR46" s="160"/>
      <c r="BS46" s="160"/>
      <c r="BT46" s="160"/>
      <c r="BU46" s="160"/>
      <c r="BV46" s="160"/>
      <c r="BW46" s="160"/>
      <c r="BX46" s="160"/>
      <c r="BY46" s="160"/>
      <c r="BZ46" s="160"/>
      <c r="CA46" s="160"/>
      <c r="CB46" s="160"/>
      <c r="CC46" s="160"/>
      <c r="CD46" s="160"/>
      <c r="CE46" s="160"/>
      <c r="CF46" s="160"/>
      <c r="CG46" s="160"/>
      <c r="CH46" s="160"/>
      <c r="CI46" s="160"/>
      <c r="CJ46" s="160"/>
      <c r="CK46" s="160"/>
      <c r="CL46" s="160"/>
      <c r="CM46" s="160"/>
      <c r="CN46" s="160"/>
      <c r="CO46" s="160"/>
      <c r="CP46" s="160"/>
      <c r="CQ46" s="160"/>
      <c r="CR46" s="160"/>
      <c r="CS46" s="160"/>
      <c r="CT46" s="160"/>
      <c r="CU46" s="160"/>
      <c r="CV46" s="160"/>
    </row>
    <row r="47" spans="2:100" ht="15">
      <c r="B47" s="186" t="s">
        <v>123</v>
      </c>
      <c r="C47" s="187"/>
      <c r="D47" s="168"/>
      <c r="E47" s="168"/>
      <c r="F47" s="168"/>
      <c r="G47" s="168"/>
      <c r="H47" s="168"/>
      <c r="I47" s="168"/>
      <c r="J47" s="168"/>
      <c r="K47" s="168"/>
      <c r="L47" s="168"/>
      <c r="M47" s="168"/>
      <c r="N47" s="168"/>
      <c r="O47" s="168"/>
      <c r="P47" s="168"/>
      <c r="Q47" s="168"/>
      <c r="R47" s="168"/>
      <c r="S47" s="168"/>
      <c r="T47" s="168"/>
      <c r="U47" s="168"/>
      <c r="V47" s="168"/>
      <c r="W47" s="168"/>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0"/>
      <c r="BP47" s="160"/>
      <c r="BQ47" s="160"/>
      <c r="BR47" s="160"/>
      <c r="BS47" s="160"/>
      <c r="BT47" s="160"/>
      <c r="BU47" s="160"/>
      <c r="BV47" s="160"/>
      <c r="BW47" s="160"/>
      <c r="BX47" s="160"/>
      <c r="BY47" s="160"/>
      <c r="BZ47" s="160"/>
      <c r="CA47" s="160"/>
      <c r="CB47" s="160"/>
      <c r="CC47" s="160"/>
      <c r="CD47" s="160"/>
      <c r="CE47" s="160"/>
      <c r="CF47" s="160"/>
      <c r="CG47" s="160"/>
      <c r="CH47" s="160"/>
      <c r="CI47" s="160"/>
      <c r="CJ47" s="160"/>
      <c r="CK47" s="160"/>
      <c r="CL47" s="160"/>
      <c r="CM47" s="160"/>
      <c r="CN47" s="160"/>
      <c r="CO47" s="160"/>
      <c r="CP47" s="160"/>
      <c r="CQ47" s="160"/>
      <c r="CR47" s="160"/>
      <c r="CS47" s="160"/>
      <c r="CT47" s="160"/>
      <c r="CU47" s="160"/>
      <c r="CV47" s="160"/>
    </row>
    <row r="48" spans="2:100" ht="15">
      <c r="B48" s="187" t="s">
        <v>119</v>
      </c>
      <c r="C48" s="188"/>
      <c r="D48" s="189">
        <f>'ERR &amp; Sensitivity Analysis'!G10</f>
        <v>1</v>
      </c>
      <c r="E48" s="168"/>
      <c r="F48" s="168"/>
      <c r="G48" s="168"/>
      <c r="H48" s="168"/>
      <c r="I48" s="168"/>
      <c r="J48" s="168"/>
      <c r="K48" s="168"/>
      <c r="L48" s="168"/>
      <c r="M48" s="168"/>
      <c r="N48" s="168"/>
      <c r="O48" s="168"/>
      <c r="P48" s="168"/>
      <c r="Q48" s="168"/>
      <c r="R48" s="168"/>
      <c r="S48" s="168"/>
      <c r="T48" s="168"/>
      <c r="U48" s="168"/>
      <c r="V48" s="168"/>
      <c r="W48" s="168"/>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0"/>
      <c r="BQ48" s="160"/>
      <c r="BR48" s="160"/>
      <c r="BS48" s="160"/>
      <c r="BT48" s="160"/>
      <c r="BU48" s="160"/>
      <c r="BV48" s="160"/>
      <c r="BW48" s="160"/>
      <c r="BX48" s="160"/>
      <c r="BY48" s="160"/>
      <c r="BZ48" s="160"/>
      <c r="CA48" s="160"/>
      <c r="CB48" s="160"/>
      <c r="CC48" s="160"/>
      <c r="CD48" s="160"/>
      <c r="CE48" s="160"/>
      <c r="CF48" s="160"/>
      <c r="CG48" s="160"/>
      <c r="CH48" s="160"/>
      <c r="CI48" s="160"/>
      <c r="CJ48" s="160"/>
      <c r="CK48" s="160"/>
      <c r="CL48" s="160"/>
      <c r="CM48" s="160"/>
      <c r="CN48" s="160"/>
      <c r="CO48" s="160"/>
      <c r="CP48" s="160"/>
      <c r="CQ48" s="160"/>
      <c r="CR48" s="160"/>
      <c r="CS48" s="160"/>
      <c r="CT48" s="160"/>
      <c r="CU48" s="160"/>
      <c r="CV48" s="160"/>
    </row>
    <row r="49" spans="2:100" ht="15">
      <c r="B49" s="186"/>
      <c r="C49" s="188"/>
      <c r="D49" s="190"/>
      <c r="E49" s="190"/>
      <c r="F49" s="190"/>
      <c r="G49" s="190"/>
      <c r="H49" s="190"/>
      <c r="I49" s="190"/>
      <c r="J49" s="190"/>
      <c r="K49" s="190"/>
      <c r="L49" s="190"/>
      <c r="M49" s="190"/>
      <c r="N49" s="190"/>
      <c r="O49" s="190"/>
      <c r="P49" s="190"/>
      <c r="Q49" s="190"/>
      <c r="R49" s="190"/>
      <c r="S49" s="190"/>
      <c r="T49" s="190"/>
      <c r="U49" s="190"/>
      <c r="V49" s="190"/>
      <c r="W49" s="190"/>
      <c r="X49" s="19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0"/>
      <c r="BQ49" s="160"/>
      <c r="BR49" s="160"/>
      <c r="BS49" s="160"/>
      <c r="BT49" s="160"/>
      <c r="BU49" s="160"/>
      <c r="BV49" s="160"/>
      <c r="BW49" s="160"/>
      <c r="BX49" s="160"/>
      <c r="BY49" s="160"/>
      <c r="BZ49" s="160"/>
      <c r="CA49" s="160"/>
      <c r="CB49" s="160"/>
      <c r="CC49" s="160"/>
      <c r="CD49" s="160"/>
      <c r="CE49" s="160"/>
      <c r="CF49" s="160"/>
      <c r="CG49" s="160"/>
      <c r="CH49" s="160"/>
      <c r="CI49" s="160"/>
      <c r="CJ49" s="160"/>
      <c r="CK49" s="160"/>
      <c r="CL49" s="160"/>
      <c r="CM49" s="160"/>
      <c r="CN49" s="160"/>
      <c r="CO49" s="160"/>
      <c r="CP49" s="160"/>
      <c r="CQ49" s="160"/>
      <c r="CR49" s="160"/>
      <c r="CS49" s="160"/>
      <c r="CT49" s="160"/>
      <c r="CU49" s="160"/>
      <c r="CV49" s="160"/>
    </row>
    <row r="50" spans="2:100" ht="15">
      <c r="B50" s="22"/>
      <c r="C50" s="83"/>
      <c r="D50" s="191"/>
      <c r="E50" s="191"/>
      <c r="F50" s="191"/>
      <c r="G50" s="191"/>
      <c r="H50" s="191"/>
      <c r="I50" s="191"/>
      <c r="J50" s="191"/>
      <c r="K50" s="191"/>
      <c r="L50" s="191"/>
      <c r="M50" s="191"/>
      <c r="N50" s="191"/>
      <c r="O50" s="191"/>
      <c r="P50" s="191"/>
      <c r="Q50" s="191"/>
      <c r="R50" s="191"/>
      <c r="S50" s="191"/>
      <c r="T50" s="191"/>
      <c r="U50" s="191"/>
      <c r="V50" s="191"/>
      <c r="W50" s="191"/>
      <c r="X50" s="160"/>
      <c r="Y50" s="160"/>
      <c r="Z50" s="160"/>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60"/>
      <c r="BJ50" s="160"/>
      <c r="BK50" s="160"/>
      <c r="BL50" s="160"/>
      <c r="BM50" s="160"/>
      <c r="BN50" s="160"/>
      <c r="BO50" s="160"/>
      <c r="BP50" s="160"/>
      <c r="BQ50" s="160"/>
      <c r="BR50" s="160"/>
      <c r="BS50" s="160"/>
      <c r="BT50" s="160"/>
      <c r="BU50" s="160"/>
      <c r="BV50" s="160"/>
      <c r="BW50" s="160"/>
      <c r="BX50" s="160"/>
      <c r="BY50" s="160"/>
      <c r="BZ50" s="160"/>
      <c r="CA50" s="160"/>
      <c r="CB50" s="160"/>
      <c r="CC50" s="160"/>
      <c r="CD50" s="160"/>
      <c r="CE50" s="160"/>
      <c r="CF50" s="160"/>
      <c r="CG50" s="160"/>
      <c r="CH50" s="160"/>
      <c r="CI50" s="160"/>
      <c r="CJ50" s="160"/>
      <c r="CK50" s="160"/>
      <c r="CL50" s="160"/>
      <c r="CM50" s="160"/>
      <c r="CN50" s="160"/>
      <c r="CO50" s="160"/>
      <c r="CP50" s="160"/>
      <c r="CQ50" s="160"/>
      <c r="CR50" s="160"/>
      <c r="CS50" s="160"/>
      <c r="CT50" s="160"/>
      <c r="CU50" s="160"/>
      <c r="CV50" s="160"/>
    </row>
    <row r="51" spans="2:100" ht="15">
      <c r="B51" s="22"/>
      <c r="C51" s="83"/>
      <c r="D51" s="168"/>
      <c r="E51" s="192"/>
      <c r="F51" s="193"/>
      <c r="G51" s="193"/>
      <c r="H51" s="193"/>
      <c r="I51" s="193"/>
      <c r="J51" s="193"/>
      <c r="K51" s="193"/>
      <c r="L51" s="193"/>
      <c r="M51" s="193"/>
      <c r="N51" s="193"/>
      <c r="O51" s="193"/>
      <c r="P51" s="168"/>
      <c r="Q51" s="168"/>
      <c r="R51" s="168"/>
      <c r="S51" s="168"/>
      <c r="T51" s="168"/>
      <c r="U51" s="168"/>
      <c r="V51" s="168"/>
      <c r="W51" s="168"/>
      <c r="X51" s="160"/>
      <c r="Y51" s="160"/>
      <c r="Z51" s="160"/>
      <c r="AA51" s="168"/>
      <c r="AB51" s="168"/>
      <c r="AC51" s="168"/>
      <c r="AD51" s="168"/>
      <c r="AE51" s="168"/>
      <c r="AF51" s="168"/>
      <c r="AG51" s="168"/>
      <c r="AH51" s="168"/>
      <c r="AI51" s="168"/>
      <c r="AJ51" s="168"/>
      <c r="AK51" s="168"/>
      <c r="AL51" s="168"/>
      <c r="AM51" s="168"/>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0"/>
      <c r="BJ51" s="160"/>
      <c r="BK51" s="160"/>
      <c r="BL51" s="160"/>
      <c r="BM51" s="160"/>
      <c r="BN51" s="160"/>
      <c r="BO51" s="160"/>
      <c r="BP51" s="160"/>
      <c r="BQ51" s="160"/>
      <c r="BR51" s="160"/>
      <c r="BS51" s="160"/>
      <c r="BT51" s="160"/>
      <c r="BU51" s="160"/>
      <c r="BV51" s="160"/>
      <c r="BW51" s="160"/>
      <c r="BX51" s="160"/>
      <c r="BY51" s="160"/>
      <c r="BZ51" s="160"/>
      <c r="CA51" s="160"/>
      <c r="CB51" s="160"/>
      <c r="CC51" s="160"/>
      <c r="CD51" s="160"/>
      <c r="CE51" s="160"/>
      <c r="CF51" s="160"/>
      <c r="CG51" s="160"/>
      <c r="CH51" s="160"/>
      <c r="CI51" s="160"/>
      <c r="CJ51" s="160"/>
      <c r="CK51" s="160"/>
      <c r="CL51" s="160"/>
      <c r="CM51" s="160"/>
      <c r="CN51" s="160"/>
      <c r="CO51" s="160"/>
      <c r="CP51" s="160"/>
      <c r="CQ51" s="160"/>
      <c r="CR51" s="160"/>
      <c r="CS51" s="160"/>
      <c r="CT51" s="160"/>
      <c r="CU51" s="160"/>
      <c r="CV51" s="160"/>
    </row>
    <row r="52" spans="2:100" ht="15">
      <c r="B52" s="22"/>
      <c r="C52" s="188"/>
      <c r="D52" s="168"/>
      <c r="E52" s="168"/>
      <c r="F52" s="168"/>
      <c r="G52" s="168"/>
      <c r="H52" s="168"/>
      <c r="I52" s="168"/>
      <c r="J52" s="168"/>
      <c r="K52" s="168"/>
      <c r="L52" s="168"/>
      <c r="M52" s="168"/>
      <c r="N52" s="168"/>
      <c r="O52" s="168"/>
      <c r="P52" s="168"/>
      <c r="Q52" s="168"/>
      <c r="R52" s="168"/>
      <c r="S52" s="168"/>
      <c r="T52" s="168"/>
      <c r="U52" s="168"/>
      <c r="V52" s="168"/>
      <c r="W52" s="168"/>
      <c r="X52" s="160"/>
      <c r="Y52" s="160"/>
      <c r="Z52" s="168"/>
      <c r="AA52" s="168"/>
      <c r="AB52" s="168"/>
      <c r="AC52" s="168"/>
      <c r="AD52" s="168"/>
      <c r="AE52" s="168"/>
      <c r="AF52" s="168"/>
      <c r="AG52" s="168"/>
      <c r="AH52" s="168"/>
      <c r="AI52" s="168"/>
      <c r="AJ52" s="168"/>
      <c r="AK52" s="168"/>
      <c r="AL52" s="168"/>
      <c r="AM52" s="168"/>
      <c r="AN52" s="168"/>
      <c r="AO52" s="168"/>
      <c r="AP52" s="168"/>
      <c r="AQ52" s="168"/>
      <c r="AR52" s="168"/>
      <c r="AS52" s="168"/>
      <c r="AT52" s="168"/>
      <c r="AU52" s="168"/>
      <c r="AV52" s="168"/>
      <c r="AW52" s="168"/>
      <c r="AX52" s="168"/>
      <c r="AY52" s="168"/>
      <c r="AZ52" s="168"/>
      <c r="BA52" s="168"/>
      <c r="BB52" s="168"/>
      <c r="BC52" s="168"/>
      <c r="BD52" s="168"/>
      <c r="BE52" s="168"/>
      <c r="BF52" s="168"/>
      <c r="BG52" s="168"/>
      <c r="BH52" s="168"/>
      <c r="BI52" s="160"/>
      <c r="BJ52" s="160"/>
      <c r="BK52" s="160"/>
      <c r="BL52" s="160"/>
      <c r="BM52" s="160"/>
      <c r="BN52" s="160"/>
      <c r="BO52" s="160"/>
      <c r="BP52" s="160"/>
      <c r="BQ52" s="160"/>
      <c r="BR52" s="160"/>
      <c r="BS52" s="160"/>
      <c r="BT52" s="160"/>
      <c r="BU52" s="160"/>
      <c r="BV52" s="160"/>
      <c r="BW52" s="160"/>
      <c r="BX52" s="160"/>
      <c r="BY52" s="160"/>
      <c r="BZ52" s="160"/>
      <c r="CA52" s="160"/>
      <c r="CB52" s="160"/>
      <c r="CC52" s="160"/>
      <c r="CD52" s="160"/>
      <c r="CE52" s="160"/>
      <c r="CF52" s="160"/>
      <c r="CG52" s="160"/>
      <c r="CH52" s="160"/>
      <c r="CI52" s="160"/>
      <c r="CJ52" s="160"/>
      <c r="CK52" s="160"/>
      <c r="CL52" s="160"/>
      <c r="CM52" s="160"/>
      <c r="CN52" s="160"/>
      <c r="CO52" s="160"/>
      <c r="CP52" s="160"/>
      <c r="CQ52" s="160"/>
      <c r="CR52" s="160"/>
      <c r="CS52" s="160"/>
      <c r="CT52" s="160"/>
      <c r="CU52" s="160"/>
      <c r="CV52" s="160"/>
    </row>
    <row r="53" spans="1:100" s="198" customFormat="1" ht="15">
      <c r="A53" s="68"/>
      <c r="B53" s="22"/>
      <c r="C53" s="48"/>
      <c r="D53" s="194"/>
      <c r="E53" s="194"/>
      <c r="F53" s="194"/>
      <c r="G53" s="194"/>
      <c r="H53" s="194"/>
      <c r="I53" s="194"/>
      <c r="J53" s="194"/>
      <c r="K53" s="194"/>
      <c r="L53" s="194"/>
      <c r="M53" s="194"/>
      <c r="N53" s="194"/>
      <c r="O53" s="194"/>
      <c r="P53" s="194"/>
      <c r="Q53" s="194"/>
      <c r="R53" s="194"/>
      <c r="S53" s="194"/>
      <c r="T53" s="194"/>
      <c r="U53" s="194"/>
      <c r="V53" s="194"/>
      <c r="W53" s="194"/>
      <c r="X53" s="195"/>
      <c r="Y53" s="195"/>
      <c r="Z53" s="196"/>
      <c r="AA53" s="191"/>
      <c r="AB53" s="197"/>
      <c r="AC53" s="197"/>
      <c r="AD53" s="197"/>
      <c r="AE53" s="197"/>
      <c r="AF53" s="197"/>
      <c r="AG53" s="197"/>
      <c r="AH53" s="197"/>
      <c r="AI53" s="197"/>
      <c r="AJ53" s="197"/>
      <c r="AK53" s="197"/>
      <c r="AL53" s="197"/>
      <c r="AM53" s="197"/>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5"/>
      <c r="BJ53" s="195"/>
      <c r="BK53" s="195"/>
      <c r="BL53" s="195"/>
      <c r="BM53" s="195"/>
      <c r="BN53" s="195"/>
      <c r="BO53" s="195"/>
      <c r="BP53" s="195"/>
      <c r="BQ53" s="195"/>
      <c r="BR53" s="195"/>
      <c r="BS53" s="195"/>
      <c r="BT53" s="195"/>
      <c r="BU53" s="195"/>
      <c r="BV53" s="195"/>
      <c r="BW53" s="195"/>
      <c r="BX53" s="195"/>
      <c r="BY53" s="195"/>
      <c r="BZ53" s="195"/>
      <c r="CA53" s="195"/>
      <c r="CB53" s="195"/>
      <c r="CC53" s="195"/>
      <c r="CD53" s="195"/>
      <c r="CE53" s="195"/>
      <c r="CF53" s="195"/>
      <c r="CG53" s="195"/>
      <c r="CH53" s="195"/>
      <c r="CI53" s="195"/>
      <c r="CJ53" s="195"/>
      <c r="CK53" s="195"/>
      <c r="CL53" s="195"/>
      <c r="CM53" s="195"/>
      <c r="CN53" s="195"/>
      <c r="CO53" s="195"/>
      <c r="CP53" s="195"/>
      <c r="CQ53" s="195"/>
      <c r="CR53" s="195"/>
      <c r="CS53" s="195"/>
      <c r="CT53" s="195"/>
      <c r="CU53" s="195"/>
      <c r="CV53" s="195"/>
    </row>
    <row r="54" spans="2:100" ht="15">
      <c r="B54" s="22"/>
      <c r="C54" s="48"/>
      <c r="D54" s="168"/>
      <c r="E54" s="168"/>
      <c r="F54" s="168"/>
      <c r="G54" s="168"/>
      <c r="H54" s="168"/>
      <c r="I54" s="168"/>
      <c r="J54" s="168"/>
      <c r="K54" s="168"/>
      <c r="L54" s="168"/>
      <c r="M54" s="168"/>
      <c r="N54" s="168"/>
      <c r="O54" s="168"/>
      <c r="P54" s="168"/>
      <c r="Q54" s="168"/>
      <c r="R54" s="168"/>
      <c r="S54" s="168"/>
      <c r="T54" s="168"/>
      <c r="U54" s="168"/>
      <c r="V54" s="168"/>
      <c r="W54" s="168"/>
      <c r="X54" s="160"/>
      <c r="Y54" s="160"/>
      <c r="Z54" s="160"/>
      <c r="AA54" s="160"/>
      <c r="AB54" s="160"/>
      <c r="AC54" s="160"/>
      <c r="AD54" s="160"/>
      <c r="AE54" s="160"/>
      <c r="AF54" s="160"/>
      <c r="AG54" s="160"/>
      <c r="AH54" s="160"/>
      <c r="AI54" s="160"/>
      <c r="AJ54" s="160"/>
      <c r="AK54" s="160"/>
      <c r="AL54" s="160"/>
      <c r="AM54" s="160"/>
      <c r="AN54" s="160"/>
      <c r="AO54" s="160"/>
      <c r="AP54" s="160"/>
      <c r="AQ54" s="160"/>
      <c r="AR54" s="160"/>
      <c r="AS54" s="160"/>
      <c r="AT54" s="160"/>
      <c r="AU54" s="160"/>
      <c r="AV54" s="160"/>
      <c r="AW54" s="160"/>
      <c r="AX54" s="160"/>
      <c r="AY54" s="160"/>
      <c r="AZ54" s="160"/>
      <c r="BA54" s="160"/>
      <c r="BB54" s="160"/>
      <c r="BC54" s="160"/>
      <c r="BD54" s="160"/>
      <c r="BE54" s="160"/>
      <c r="BF54" s="160"/>
      <c r="BG54" s="160"/>
      <c r="BH54" s="160"/>
      <c r="BI54" s="160"/>
      <c r="BJ54" s="160"/>
      <c r="BK54" s="160"/>
      <c r="BL54" s="160"/>
      <c r="BM54" s="160"/>
      <c r="BN54" s="160"/>
      <c r="BO54" s="160"/>
      <c r="BP54" s="160"/>
      <c r="BQ54" s="160"/>
      <c r="BR54" s="160"/>
      <c r="BS54" s="160"/>
      <c r="BT54" s="160"/>
      <c r="BU54" s="160"/>
      <c r="BV54" s="160"/>
      <c r="BW54" s="160"/>
      <c r="BX54" s="160"/>
      <c r="BY54" s="160"/>
      <c r="BZ54" s="160"/>
      <c r="CA54" s="160"/>
      <c r="CB54" s="160"/>
      <c r="CC54" s="160"/>
      <c r="CD54" s="160"/>
      <c r="CE54" s="160"/>
      <c r="CF54" s="160"/>
      <c r="CG54" s="160"/>
      <c r="CH54" s="160"/>
      <c r="CI54" s="160"/>
      <c r="CJ54" s="160"/>
      <c r="CK54" s="160"/>
      <c r="CL54" s="160"/>
      <c r="CM54" s="160"/>
      <c r="CN54" s="160"/>
      <c r="CO54" s="160"/>
      <c r="CP54" s="160"/>
      <c r="CQ54" s="160"/>
      <c r="CR54" s="160"/>
      <c r="CS54" s="160"/>
      <c r="CT54" s="160"/>
      <c r="CU54" s="160"/>
      <c r="CV54" s="160"/>
    </row>
    <row r="55" spans="2:100" ht="15">
      <c r="B55" s="22"/>
      <c r="C55" s="22"/>
      <c r="D55" s="168"/>
      <c r="E55" s="168"/>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60"/>
      <c r="AJ55" s="160"/>
      <c r="AK55" s="160"/>
      <c r="AL55" s="160"/>
      <c r="AM55" s="160"/>
      <c r="AN55" s="160"/>
      <c r="AO55" s="160"/>
      <c r="AP55" s="160"/>
      <c r="AQ55" s="160"/>
      <c r="AR55" s="160"/>
      <c r="AS55" s="160"/>
      <c r="AT55" s="160"/>
      <c r="AU55" s="160"/>
      <c r="AV55" s="160"/>
      <c r="AW55" s="160"/>
      <c r="AX55" s="160"/>
      <c r="AY55" s="160"/>
      <c r="AZ55" s="160"/>
      <c r="BA55" s="160"/>
      <c r="BB55" s="160"/>
      <c r="BC55" s="160"/>
      <c r="BD55" s="160"/>
      <c r="BE55" s="160"/>
      <c r="BF55" s="160"/>
      <c r="BG55" s="160"/>
      <c r="BH55" s="160"/>
      <c r="BI55" s="160"/>
      <c r="BJ55" s="160"/>
      <c r="BK55" s="160"/>
      <c r="BL55" s="160"/>
      <c r="BM55" s="160"/>
      <c r="BN55" s="160"/>
      <c r="BO55" s="160"/>
      <c r="BP55" s="160"/>
      <c r="BQ55" s="160"/>
      <c r="BR55" s="160"/>
      <c r="BS55" s="160"/>
      <c r="BT55" s="160"/>
      <c r="BU55" s="160"/>
      <c r="BV55" s="160"/>
      <c r="BW55" s="160"/>
      <c r="BX55" s="160"/>
      <c r="BY55" s="160"/>
      <c r="BZ55" s="160"/>
      <c r="CA55" s="160"/>
      <c r="CB55" s="160"/>
      <c r="CC55" s="160"/>
      <c r="CD55" s="160"/>
      <c r="CE55" s="160"/>
      <c r="CF55" s="160"/>
      <c r="CG55" s="160"/>
      <c r="CH55" s="160"/>
      <c r="CI55" s="160"/>
      <c r="CJ55" s="160"/>
      <c r="CK55" s="160"/>
      <c r="CL55" s="160"/>
      <c r="CM55" s="160"/>
      <c r="CN55" s="160"/>
      <c r="CO55" s="160"/>
      <c r="CP55" s="160"/>
      <c r="CQ55" s="160"/>
      <c r="CR55" s="160"/>
      <c r="CS55" s="160"/>
      <c r="CT55" s="160"/>
      <c r="CU55" s="160"/>
      <c r="CV55" s="160"/>
    </row>
    <row r="56" spans="2:100" ht="15">
      <c r="B56" s="22"/>
      <c r="C56" s="48"/>
      <c r="D56" s="168"/>
      <c r="E56" s="168"/>
      <c r="F56" s="168"/>
      <c r="G56" s="168"/>
      <c r="H56" s="168"/>
      <c r="I56" s="168"/>
      <c r="J56" s="168"/>
      <c r="K56" s="168"/>
      <c r="L56" s="168"/>
      <c r="M56" s="168"/>
      <c r="N56" s="168"/>
      <c r="O56" s="168"/>
      <c r="P56" s="168"/>
      <c r="Q56" s="168"/>
      <c r="R56" s="168"/>
      <c r="S56" s="168"/>
      <c r="T56" s="168"/>
      <c r="U56" s="168"/>
      <c r="V56" s="168"/>
      <c r="W56" s="168"/>
      <c r="X56" s="168"/>
      <c r="Y56" s="160"/>
      <c r="Z56" s="160"/>
      <c r="AA56" s="160"/>
      <c r="AB56" s="160"/>
      <c r="AC56" s="160"/>
      <c r="AD56" s="160"/>
      <c r="AE56" s="160"/>
      <c r="AF56" s="160"/>
      <c r="AG56" s="160"/>
      <c r="AH56" s="160"/>
      <c r="AI56" s="160"/>
      <c r="AJ56" s="160"/>
      <c r="AK56" s="160"/>
      <c r="AL56" s="160"/>
      <c r="AM56" s="160"/>
      <c r="AN56" s="160"/>
      <c r="AO56" s="160"/>
      <c r="AP56" s="160"/>
      <c r="AQ56" s="160"/>
      <c r="AR56" s="160"/>
      <c r="AS56" s="160"/>
      <c r="AT56" s="160"/>
      <c r="AU56" s="160"/>
      <c r="AV56" s="160"/>
      <c r="AW56" s="160"/>
      <c r="AX56" s="160"/>
      <c r="AY56" s="160"/>
      <c r="AZ56" s="160"/>
      <c r="BA56" s="160"/>
      <c r="BB56" s="160"/>
      <c r="BC56" s="160"/>
      <c r="BD56" s="160"/>
      <c r="BE56" s="160"/>
      <c r="BF56" s="160"/>
      <c r="BG56" s="160"/>
      <c r="BH56" s="160"/>
      <c r="BI56" s="160"/>
      <c r="BJ56" s="160"/>
      <c r="BK56" s="160"/>
      <c r="BL56" s="160"/>
      <c r="BM56" s="160"/>
      <c r="BN56" s="160"/>
      <c r="BO56" s="160"/>
      <c r="BP56" s="160"/>
      <c r="BQ56" s="160"/>
      <c r="BR56" s="160"/>
      <c r="BS56" s="160"/>
      <c r="BT56" s="160"/>
      <c r="BU56" s="160"/>
      <c r="BV56" s="160"/>
      <c r="BW56" s="160"/>
      <c r="BX56" s="160"/>
      <c r="BY56" s="160"/>
      <c r="BZ56" s="160"/>
      <c r="CA56" s="160"/>
      <c r="CB56" s="160"/>
      <c r="CC56" s="160"/>
      <c r="CD56" s="160"/>
      <c r="CE56" s="160"/>
      <c r="CF56" s="160"/>
      <c r="CG56" s="160"/>
      <c r="CH56" s="160"/>
      <c r="CI56" s="160"/>
      <c r="CJ56" s="160"/>
      <c r="CK56" s="160"/>
      <c r="CL56" s="160"/>
      <c r="CM56" s="160"/>
      <c r="CN56" s="160"/>
      <c r="CO56" s="160"/>
      <c r="CP56" s="160"/>
      <c r="CQ56" s="160"/>
      <c r="CR56" s="160"/>
      <c r="CS56" s="160"/>
      <c r="CT56" s="160"/>
      <c r="CU56" s="160"/>
      <c r="CV56" s="160"/>
    </row>
    <row r="57" spans="3:100" ht="15">
      <c r="C57" s="188"/>
      <c r="D57" s="168"/>
      <c r="E57" s="168"/>
      <c r="F57" s="168"/>
      <c r="G57" s="168"/>
      <c r="H57" s="168"/>
      <c r="I57" s="168"/>
      <c r="J57" s="168"/>
      <c r="K57" s="168"/>
      <c r="L57" s="168"/>
      <c r="M57" s="168"/>
      <c r="N57" s="168"/>
      <c r="O57" s="168"/>
      <c r="P57" s="168"/>
      <c r="Q57" s="168"/>
      <c r="R57" s="168"/>
      <c r="S57" s="168"/>
      <c r="T57" s="168"/>
      <c r="U57" s="168"/>
      <c r="V57" s="168"/>
      <c r="W57" s="168"/>
      <c r="X57" s="160"/>
      <c r="Y57" s="160"/>
      <c r="Z57" s="199"/>
      <c r="AA57" s="160"/>
      <c r="AB57" s="160"/>
      <c r="AC57" s="160"/>
      <c r="AD57" s="160"/>
      <c r="AE57" s="160"/>
      <c r="AF57" s="160"/>
      <c r="AG57" s="160"/>
      <c r="AH57" s="160"/>
      <c r="AI57" s="160"/>
      <c r="AJ57" s="160"/>
      <c r="AK57" s="160"/>
      <c r="AL57" s="160"/>
      <c r="AM57" s="160"/>
      <c r="AN57" s="160"/>
      <c r="AO57" s="160"/>
      <c r="AP57" s="160"/>
      <c r="AQ57" s="160"/>
      <c r="AR57" s="160"/>
      <c r="AS57" s="160"/>
      <c r="AT57" s="160"/>
      <c r="AU57" s="160"/>
      <c r="AV57" s="160"/>
      <c r="AW57" s="160"/>
      <c r="AX57" s="160"/>
      <c r="AY57" s="160"/>
      <c r="AZ57" s="160"/>
      <c r="BA57" s="160"/>
      <c r="BB57" s="160"/>
      <c r="BC57" s="160"/>
      <c r="BD57" s="160"/>
      <c r="BE57" s="160"/>
      <c r="BF57" s="160"/>
      <c r="BG57" s="160"/>
      <c r="BH57" s="160"/>
      <c r="BI57" s="160"/>
      <c r="BJ57" s="160"/>
      <c r="BK57" s="160"/>
      <c r="BL57" s="160"/>
      <c r="BM57" s="160"/>
      <c r="BN57" s="160"/>
      <c r="BO57" s="160"/>
      <c r="BP57" s="160"/>
      <c r="BQ57" s="160"/>
      <c r="BR57" s="160"/>
      <c r="BS57" s="160"/>
      <c r="BT57" s="160"/>
      <c r="BU57" s="160"/>
      <c r="BV57" s="160"/>
      <c r="BW57" s="160"/>
      <c r="BX57" s="160"/>
      <c r="BY57" s="160"/>
      <c r="BZ57" s="160"/>
      <c r="CA57" s="160"/>
      <c r="CB57" s="160"/>
      <c r="CC57" s="160"/>
      <c r="CD57" s="160"/>
      <c r="CE57" s="160"/>
      <c r="CF57" s="160"/>
      <c r="CG57" s="160"/>
      <c r="CH57" s="160"/>
      <c r="CI57" s="160"/>
      <c r="CJ57" s="160"/>
      <c r="CK57" s="160"/>
      <c r="CL57" s="160"/>
      <c r="CM57" s="160"/>
      <c r="CN57" s="160"/>
      <c r="CO57" s="160"/>
      <c r="CP57" s="160"/>
      <c r="CQ57" s="160"/>
      <c r="CR57" s="160"/>
      <c r="CS57" s="160"/>
      <c r="CT57" s="160"/>
      <c r="CU57" s="160"/>
      <c r="CV57" s="160"/>
    </row>
    <row r="58" spans="3:100" ht="15">
      <c r="C58" s="188"/>
      <c r="D58" s="168"/>
      <c r="E58" s="168"/>
      <c r="F58" s="168"/>
      <c r="G58" s="168"/>
      <c r="H58" s="168"/>
      <c r="I58" s="168"/>
      <c r="J58" s="168"/>
      <c r="K58" s="168"/>
      <c r="L58" s="168"/>
      <c r="M58" s="168"/>
      <c r="N58" s="168"/>
      <c r="O58" s="168"/>
      <c r="P58" s="168"/>
      <c r="Q58" s="168"/>
      <c r="R58" s="168"/>
      <c r="S58" s="168"/>
      <c r="T58" s="168"/>
      <c r="U58" s="168"/>
      <c r="V58" s="168"/>
      <c r="W58" s="168"/>
      <c r="X58" s="160"/>
      <c r="Y58" s="160"/>
      <c r="Z58" s="160"/>
      <c r="AA58" s="160"/>
      <c r="AB58" s="160"/>
      <c r="AC58" s="160"/>
      <c r="AD58" s="160"/>
      <c r="AE58" s="160"/>
      <c r="AF58" s="160"/>
      <c r="AG58" s="160"/>
      <c r="AH58" s="160"/>
      <c r="AI58" s="160"/>
      <c r="AJ58" s="160"/>
      <c r="AK58" s="160"/>
      <c r="AL58" s="160"/>
      <c r="AM58" s="160"/>
      <c r="AN58" s="160"/>
      <c r="AO58" s="160"/>
      <c r="AP58" s="160"/>
      <c r="AQ58" s="160"/>
      <c r="AR58" s="160"/>
      <c r="AS58" s="160"/>
      <c r="AT58" s="160"/>
      <c r="AU58" s="160"/>
      <c r="AV58" s="160"/>
      <c r="AW58" s="160"/>
      <c r="AX58" s="160"/>
      <c r="AY58" s="160"/>
      <c r="AZ58" s="160"/>
      <c r="BA58" s="160"/>
      <c r="BB58" s="160"/>
      <c r="BC58" s="160"/>
      <c r="BD58" s="160"/>
      <c r="BE58" s="160"/>
      <c r="BF58" s="160"/>
      <c r="BG58" s="160"/>
      <c r="BH58" s="160"/>
      <c r="BI58" s="160"/>
      <c r="BJ58" s="160"/>
      <c r="BK58" s="160"/>
      <c r="BL58" s="160"/>
      <c r="BM58" s="160"/>
      <c r="BN58" s="160"/>
      <c r="BO58" s="160"/>
      <c r="BP58" s="160"/>
      <c r="BQ58" s="160"/>
      <c r="BR58" s="160"/>
      <c r="BS58" s="160"/>
      <c r="BT58" s="160"/>
      <c r="BU58" s="160"/>
      <c r="BV58" s="160"/>
      <c r="BW58" s="160"/>
      <c r="BX58" s="160"/>
      <c r="BY58" s="160"/>
      <c r="BZ58" s="160"/>
      <c r="CA58" s="160"/>
      <c r="CB58" s="160"/>
      <c r="CC58" s="160"/>
      <c r="CD58" s="160"/>
      <c r="CE58" s="160"/>
      <c r="CF58" s="160"/>
      <c r="CG58" s="160"/>
      <c r="CH58" s="160"/>
      <c r="CI58" s="160"/>
      <c r="CJ58" s="160"/>
      <c r="CK58" s="160"/>
      <c r="CL58" s="160"/>
      <c r="CM58" s="160"/>
      <c r="CN58" s="160"/>
      <c r="CO58" s="160"/>
      <c r="CP58" s="160"/>
      <c r="CQ58" s="160"/>
      <c r="CR58" s="160"/>
      <c r="CS58" s="160"/>
      <c r="CT58" s="160"/>
      <c r="CU58" s="160"/>
      <c r="CV58" s="160"/>
    </row>
    <row r="59" spans="3:100" ht="15">
      <c r="C59" s="83"/>
      <c r="D59" s="168"/>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J59" s="160"/>
      <c r="AK59" s="160"/>
      <c r="AL59" s="160"/>
      <c r="AM59" s="160"/>
      <c r="AN59" s="160"/>
      <c r="AO59" s="160"/>
      <c r="AP59" s="160"/>
      <c r="AQ59" s="160"/>
      <c r="AR59" s="160"/>
      <c r="AS59" s="160"/>
      <c r="AT59" s="160"/>
      <c r="AU59" s="160"/>
      <c r="AV59" s="160"/>
      <c r="AW59" s="160"/>
      <c r="AX59" s="160"/>
      <c r="AY59" s="160"/>
      <c r="AZ59" s="160"/>
      <c r="BA59" s="160"/>
      <c r="BB59" s="160"/>
      <c r="BC59" s="160"/>
      <c r="BD59" s="160"/>
      <c r="BE59" s="160"/>
      <c r="BF59" s="160"/>
      <c r="BG59" s="160"/>
      <c r="BH59" s="160"/>
      <c r="BI59" s="160"/>
      <c r="BJ59" s="160"/>
      <c r="BK59" s="160"/>
      <c r="BL59" s="160"/>
      <c r="BM59" s="160"/>
      <c r="BN59" s="160"/>
      <c r="BO59" s="160"/>
      <c r="BP59" s="160"/>
      <c r="BQ59" s="160"/>
      <c r="BR59" s="160"/>
      <c r="BS59" s="160"/>
      <c r="BT59" s="160"/>
      <c r="BU59" s="160"/>
      <c r="BV59" s="160"/>
      <c r="BW59" s="160"/>
      <c r="BX59" s="160"/>
      <c r="BY59" s="160"/>
      <c r="BZ59" s="160"/>
      <c r="CA59" s="160"/>
      <c r="CB59" s="160"/>
      <c r="CC59" s="160"/>
      <c r="CD59" s="160"/>
      <c r="CE59" s="160"/>
      <c r="CF59" s="160"/>
      <c r="CG59" s="160"/>
      <c r="CH59" s="160"/>
      <c r="CI59" s="160"/>
      <c r="CJ59" s="160"/>
      <c r="CK59" s="160"/>
      <c r="CL59" s="160"/>
      <c r="CM59" s="160"/>
      <c r="CN59" s="160"/>
      <c r="CO59" s="160"/>
      <c r="CP59" s="160"/>
      <c r="CQ59" s="160"/>
      <c r="CR59" s="160"/>
      <c r="CS59" s="160"/>
      <c r="CT59" s="160"/>
      <c r="CU59" s="160"/>
      <c r="CV59" s="160"/>
    </row>
    <row r="60" spans="3:100" ht="15">
      <c r="C60" s="83"/>
      <c r="D60" s="168"/>
      <c r="E60" s="160"/>
      <c r="F60" s="160"/>
      <c r="G60" s="160"/>
      <c r="H60" s="160"/>
      <c r="I60" s="160"/>
      <c r="J60" s="160"/>
      <c r="K60" s="160"/>
      <c r="L60" s="160"/>
      <c r="M60" s="160"/>
      <c r="N60" s="160"/>
      <c r="O60" s="160"/>
      <c r="P60" s="160"/>
      <c r="Q60" s="160"/>
      <c r="R60" s="160"/>
      <c r="S60" s="160"/>
      <c r="T60" s="160"/>
      <c r="U60" s="160"/>
      <c r="V60" s="160"/>
      <c r="W60" s="160"/>
      <c r="X60" s="200"/>
      <c r="Y60" s="160"/>
      <c r="Z60" s="160"/>
      <c r="AA60" s="160"/>
      <c r="AB60" s="160"/>
      <c r="AC60" s="160"/>
      <c r="AD60" s="160"/>
      <c r="AE60" s="160"/>
      <c r="AF60" s="160"/>
      <c r="AG60" s="160"/>
      <c r="AH60" s="160"/>
      <c r="AJ60" s="160"/>
      <c r="AK60" s="160"/>
      <c r="AL60" s="160"/>
      <c r="AM60" s="160"/>
      <c r="AN60" s="160"/>
      <c r="AO60" s="160"/>
      <c r="AP60" s="160"/>
      <c r="AQ60" s="160"/>
      <c r="AR60" s="160"/>
      <c r="AS60" s="160"/>
      <c r="AT60" s="160"/>
      <c r="AU60" s="160"/>
      <c r="AV60" s="160"/>
      <c r="AW60" s="160"/>
      <c r="AX60" s="160"/>
      <c r="AY60" s="160"/>
      <c r="AZ60" s="160"/>
      <c r="BA60" s="160"/>
      <c r="BB60" s="160"/>
      <c r="BC60" s="160"/>
      <c r="BD60" s="160"/>
      <c r="BE60" s="160"/>
      <c r="BF60" s="160"/>
      <c r="BG60" s="160"/>
      <c r="BH60" s="160"/>
      <c r="BI60" s="160"/>
      <c r="BJ60" s="160"/>
      <c r="BK60" s="160"/>
      <c r="BL60" s="160"/>
      <c r="BM60" s="160"/>
      <c r="BN60" s="160"/>
      <c r="BO60" s="160"/>
      <c r="BP60" s="160"/>
      <c r="BQ60" s="160"/>
      <c r="BR60" s="160"/>
      <c r="BS60" s="160"/>
      <c r="BT60" s="160"/>
      <c r="BU60" s="160"/>
      <c r="BV60" s="160"/>
      <c r="BW60" s="160"/>
      <c r="BX60" s="160"/>
      <c r="BY60" s="160"/>
      <c r="BZ60" s="160"/>
      <c r="CA60" s="160"/>
      <c r="CB60" s="160"/>
      <c r="CC60" s="160"/>
      <c r="CD60" s="160"/>
      <c r="CE60" s="160"/>
      <c r="CF60" s="160"/>
      <c r="CG60" s="160"/>
      <c r="CH60" s="160"/>
      <c r="CI60" s="160"/>
      <c r="CJ60" s="160"/>
      <c r="CK60" s="160"/>
      <c r="CL60" s="160"/>
      <c r="CM60" s="160"/>
      <c r="CN60" s="160"/>
      <c r="CO60" s="160"/>
      <c r="CP60" s="160"/>
      <c r="CQ60" s="160"/>
      <c r="CR60" s="160"/>
      <c r="CS60" s="160"/>
      <c r="CT60" s="160"/>
      <c r="CU60" s="160"/>
      <c r="CV60" s="160"/>
    </row>
    <row r="61" spans="3:100" ht="15">
      <c r="C61" s="188"/>
      <c r="D61" s="168"/>
      <c r="E61" s="160"/>
      <c r="F61" s="160"/>
      <c r="G61" s="160"/>
      <c r="H61" s="160"/>
      <c r="I61" s="160"/>
      <c r="J61" s="160"/>
      <c r="K61" s="160"/>
      <c r="L61" s="160"/>
      <c r="M61" s="160"/>
      <c r="N61" s="160"/>
      <c r="O61" s="160"/>
      <c r="P61" s="160"/>
      <c r="Q61" s="160"/>
      <c r="R61" s="160"/>
      <c r="S61" s="160"/>
      <c r="T61" s="160"/>
      <c r="U61" s="160"/>
      <c r="V61" s="160"/>
      <c r="W61" s="160"/>
      <c r="X61" s="176"/>
      <c r="Y61" s="176"/>
      <c r="Z61" s="160"/>
      <c r="AA61" s="160"/>
      <c r="AB61" s="176"/>
      <c r="AC61" s="176"/>
      <c r="AD61" s="176"/>
      <c r="AE61" s="176"/>
      <c r="AF61" s="176"/>
      <c r="AG61" s="176"/>
      <c r="AH61" s="176"/>
      <c r="AJ61" s="176"/>
      <c r="AK61" s="176"/>
      <c r="AL61" s="160"/>
      <c r="AM61" s="160"/>
      <c r="AN61" s="160"/>
      <c r="AO61" s="160"/>
      <c r="AP61" s="160"/>
      <c r="AQ61" s="160"/>
      <c r="AR61" s="160"/>
      <c r="AS61" s="160"/>
      <c r="AT61" s="160"/>
      <c r="AU61" s="160"/>
      <c r="AV61" s="160"/>
      <c r="AW61" s="160"/>
      <c r="AX61" s="160"/>
      <c r="AY61" s="160"/>
      <c r="AZ61" s="160"/>
      <c r="BA61" s="160"/>
      <c r="BB61" s="160"/>
      <c r="BC61" s="160"/>
      <c r="BD61" s="160"/>
      <c r="BE61" s="160"/>
      <c r="BF61" s="160"/>
      <c r="BG61" s="160"/>
      <c r="BH61" s="160"/>
      <c r="BI61" s="160"/>
      <c r="BJ61" s="160"/>
      <c r="BK61" s="160"/>
      <c r="BL61" s="160"/>
      <c r="BM61" s="160"/>
      <c r="BN61" s="160"/>
      <c r="BO61" s="160"/>
      <c r="BP61" s="160"/>
      <c r="BQ61" s="160"/>
      <c r="BR61" s="160"/>
      <c r="BS61" s="160"/>
      <c r="BT61" s="160"/>
      <c r="BU61" s="160"/>
      <c r="BV61" s="160"/>
      <c r="BW61" s="160"/>
      <c r="BX61" s="160"/>
      <c r="BY61" s="160"/>
      <c r="BZ61" s="160"/>
      <c r="CA61" s="160"/>
      <c r="CB61" s="160"/>
      <c r="CC61" s="160"/>
      <c r="CD61" s="160"/>
      <c r="CE61" s="160"/>
      <c r="CF61" s="160"/>
      <c r="CG61" s="160"/>
      <c r="CH61" s="160"/>
      <c r="CI61" s="160"/>
      <c r="CJ61" s="160"/>
      <c r="CK61" s="160"/>
      <c r="CL61" s="160"/>
      <c r="CM61" s="160"/>
      <c r="CN61" s="160"/>
      <c r="CO61" s="160"/>
      <c r="CP61" s="160"/>
      <c r="CQ61" s="160"/>
      <c r="CR61" s="160"/>
      <c r="CS61" s="160"/>
      <c r="CT61" s="160"/>
      <c r="CU61" s="160"/>
      <c r="CV61" s="160"/>
    </row>
    <row r="62" spans="3:100" ht="15">
      <c r="C62" s="22"/>
      <c r="D62" s="168"/>
      <c r="E62" s="160"/>
      <c r="F62" s="160"/>
      <c r="G62" s="160"/>
      <c r="H62" s="160"/>
      <c r="I62" s="160"/>
      <c r="J62" s="160"/>
      <c r="K62" s="160"/>
      <c r="L62" s="160"/>
      <c r="M62" s="160"/>
      <c r="N62" s="160"/>
      <c r="O62" s="160"/>
      <c r="P62" s="160"/>
      <c r="Q62" s="160"/>
      <c r="R62" s="160"/>
      <c r="S62" s="160"/>
      <c r="T62" s="160"/>
      <c r="U62" s="160"/>
      <c r="V62" s="160"/>
      <c r="W62" s="160"/>
      <c r="X62" s="176"/>
      <c r="Y62" s="176"/>
      <c r="Z62" s="160"/>
      <c r="AA62" s="160"/>
      <c r="AB62" s="176"/>
      <c r="AC62" s="176"/>
      <c r="AD62" s="176"/>
      <c r="AE62" s="176"/>
      <c r="AF62" s="176"/>
      <c r="AG62" s="176"/>
      <c r="AH62" s="176"/>
      <c r="AJ62" s="176"/>
      <c r="AK62" s="176"/>
      <c r="AL62" s="160"/>
      <c r="AM62" s="160"/>
      <c r="AN62" s="160"/>
      <c r="AO62" s="160"/>
      <c r="AP62" s="160"/>
      <c r="AQ62" s="160"/>
      <c r="AR62" s="160"/>
      <c r="AS62" s="160"/>
      <c r="AT62" s="160"/>
      <c r="AU62" s="160"/>
      <c r="AV62" s="160"/>
      <c r="AW62" s="160"/>
      <c r="AX62" s="160"/>
      <c r="AY62" s="160"/>
      <c r="AZ62" s="160"/>
      <c r="BA62" s="160"/>
      <c r="BB62" s="160"/>
      <c r="BC62" s="160"/>
      <c r="BD62" s="160"/>
      <c r="BE62" s="160"/>
      <c r="BF62" s="160"/>
      <c r="BG62" s="160"/>
      <c r="BH62" s="160"/>
      <c r="BI62" s="160"/>
      <c r="BJ62" s="160"/>
      <c r="BK62" s="160"/>
      <c r="BL62" s="160"/>
      <c r="BM62" s="160"/>
      <c r="BN62" s="160"/>
      <c r="BO62" s="160"/>
      <c r="BP62" s="160"/>
      <c r="BQ62" s="160"/>
      <c r="BR62" s="160"/>
      <c r="BS62" s="160"/>
      <c r="BT62" s="160"/>
      <c r="BU62" s="160"/>
      <c r="BV62" s="160"/>
      <c r="BW62" s="160"/>
      <c r="BX62" s="160"/>
      <c r="BY62" s="160"/>
      <c r="BZ62" s="160"/>
      <c r="CA62" s="160"/>
      <c r="CB62" s="160"/>
      <c r="CC62" s="160"/>
      <c r="CD62" s="160"/>
      <c r="CE62" s="160"/>
      <c r="CF62" s="160"/>
      <c r="CG62" s="160"/>
      <c r="CH62" s="160"/>
      <c r="CI62" s="160"/>
      <c r="CJ62" s="160"/>
      <c r="CK62" s="160"/>
      <c r="CL62" s="160"/>
      <c r="CM62" s="160"/>
      <c r="CN62" s="160"/>
      <c r="CO62" s="160"/>
      <c r="CP62" s="160"/>
      <c r="CQ62" s="160"/>
      <c r="CR62" s="160"/>
      <c r="CS62" s="160"/>
      <c r="CT62" s="160"/>
      <c r="CU62" s="160"/>
      <c r="CV62" s="160"/>
    </row>
    <row r="63" spans="3:100" ht="15">
      <c r="C63" s="22"/>
      <c r="D63" s="168"/>
      <c r="E63" s="160"/>
      <c r="F63" s="160"/>
      <c r="G63" s="160"/>
      <c r="H63" s="160"/>
      <c r="I63" s="160"/>
      <c r="J63" s="160"/>
      <c r="K63" s="160"/>
      <c r="L63" s="160"/>
      <c r="M63" s="160"/>
      <c r="N63" s="160"/>
      <c r="O63" s="160"/>
      <c r="P63" s="160"/>
      <c r="Q63" s="160"/>
      <c r="R63" s="160"/>
      <c r="S63" s="160"/>
      <c r="T63" s="160"/>
      <c r="U63" s="160"/>
      <c r="V63" s="160"/>
      <c r="W63" s="160"/>
      <c r="X63" s="176"/>
      <c r="Y63" s="176"/>
      <c r="Z63" s="160"/>
      <c r="AA63" s="160"/>
      <c r="AB63" s="176"/>
      <c r="AC63" s="176"/>
      <c r="AD63" s="176"/>
      <c r="AE63" s="176"/>
      <c r="AF63" s="176"/>
      <c r="AG63" s="176"/>
      <c r="AH63" s="176"/>
      <c r="AJ63" s="176"/>
      <c r="AK63" s="176"/>
      <c r="AL63" s="160"/>
      <c r="AM63" s="160"/>
      <c r="AN63" s="160"/>
      <c r="AO63" s="160"/>
      <c r="AP63" s="160"/>
      <c r="AQ63" s="160"/>
      <c r="AR63" s="160"/>
      <c r="AS63" s="160"/>
      <c r="AT63" s="160"/>
      <c r="AU63" s="160"/>
      <c r="AV63" s="160"/>
      <c r="AW63" s="160"/>
      <c r="AX63" s="160"/>
      <c r="AY63" s="160"/>
      <c r="AZ63" s="160"/>
      <c r="BA63" s="160"/>
      <c r="BB63" s="160"/>
      <c r="BC63" s="160"/>
      <c r="BD63" s="160"/>
      <c r="BE63" s="160"/>
      <c r="BF63" s="160"/>
      <c r="BG63" s="160"/>
      <c r="BH63" s="160"/>
      <c r="BI63" s="160"/>
      <c r="BJ63" s="160"/>
      <c r="BK63" s="160"/>
      <c r="BL63" s="160"/>
      <c r="BM63" s="160"/>
      <c r="BN63" s="160"/>
      <c r="BO63" s="160"/>
      <c r="BP63" s="160"/>
      <c r="BQ63" s="160"/>
      <c r="BR63" s="160"/>
      <c r="BS63" s="160"/>
      <c r="BT63" s="160"/>
      <c r="BU63" s="160"/>
      <c r="BV63" s="160"/>
      <c r="BW63" s="160"/>
      <c r="BX63" s="160"/>
      <c r="BY63" s="160"/>
      <c r="BZ63" s="160"/>
      <c r="CA63" s="160"/>
      <c r="CB63" s="160"/>
      <c r="CC63" s="160"/>
      <c r="CD63" s="160"/>
      <c r="CE63" s="160"/>
      <c r="CF63" s="160"/>
      <c r="CG63" s="160"/>
      <c r="CH63" s="160"/>
      <c r="CI63" s="160"/>
      <c r="CJ63" s="160"/>
      <c r="CK63" s="160"/>
      <c r="CL63" s="160"/>
      <c r="CM63" s="160"/>
      <c r="CN63" s="160"/>
      <c r="CO63" s="160"/>
      <c r="CP63" s="160"/>
      <c r="CQ63" s="160"/>
      <c r="CR63" s="160"/>
      <c r="CS63" s="160"/>
      <c r="CT63" s="160"/>
      <c r="CU63" s="160"/>
      <c r="CV63" s="160"/>
    </row>
    <row r="64" spans="2:100" ht="15">
      <c r="B64" s="201"/>
      <c r="C64" s="22"/>
      <c r="D64" s="168"/>
      <c r="E64" s="160"/>
      <c r="F64" s="160"/>
      <c r="G64" s="160"/>
      <c r="H64" s="160"/>
      <c r="I64" s="160"/>
      <c r="J64" s="160"/>
      <c r="K64" s="160"/>
      <c r="L64" s="160"/>
      <c r="M64" s="160"/>
      <c r="N64" s="160"/>
      <c r="O64" s="160"/>
      <c r="P64" s="160"/>
      <c r="Q64" s="160"/>
      <c r="R64" s="160"/>
      <c r="S64" s="160"/>
      <c r="T64" s="160"/>
      <c r="U64" s="160"/>
      <c r="V64" s="160"/>
      <c r="W64" s="160"/>
      <c r="X64" s="176"/>
      <c r="Y64" s="176"/>
      <c r="Z64" s="160"/>
      <c r="AA64" s="160"/>
      <c r="AB64" s="176"/>
      <c r="AC64" s="176"/>
      <c r="AD64" s="176"/>
      <c r="AE64" s="176"/>
      <c r="AF64" s="176"/>
      <c r="AG64" s="176"/>
      <c r="AH64" s="176"/>
      <c r="AJ64" s="176"/>
      <c r="AK64" s="176"/>
      <c r="AL64" s="160"/>
      <c r="AM64" s="160"/>
      <c r="AN64" s="160"/>
      <c r="AO64" s="160"/>
      <c r="AP64" s="160"/>
      <c r="AQ64" s="160"/>
      <c r="AR64" s="160"/>
      <c r="AS64" s="160"/>
      <c r="AT64" s="160"/>
      <c r="AU64" s="160"/>
      <c r="AV64" s="160"/>
      <c r="AW64" s="160"/>
      <c r="AX64" s="160"/>
      <c r="AY64" s="160"/>
      <c r="AZ64" s="160"/>
      <c r="BA64" s="160"/>
      <c r="BB64" s="160"/>
      <c r="BC64" s="160"/>
      <c r="BD64" s="160"/>
      <c r="BE64" s="160"/>
      <c r="BF64" s="160"/>
      <c r="BG64" s="160"/>
      <c r="BH64" s="160"/>
      <c r="BI64" s="160"/>
      <c r="BJ64" s="160"/>
      <c r="BK64" s="160"/>
      <c r="BL64" s="160"/>
      <c r="BM64" s="160"/>
      <c r="BN64" s="160"/>
      <c r="BO64" s="160"/>
      <c r="BP64" s="160"/>
      <c r="BQ64" s="160"/>
      <c r="BR64" s="160"/>
      <c r="BS64" s="160"/>
      <c r="BT64" s="160"/>
      <c r="BU64" s="160"/>
      <c r="BV64" s="160"/>
      <c r="BW64" s="160"/>
      <c r="BX64" s="160"/>
      <c r="BY64" s="160"/>
      <c r="BZ64" s="160"/>
      <c r="CA64" s="160"/>
      <c r="CB64" s="160"/>
      <c r="CC64" s="160"/>
      <c r="CD64" s="160"/>
      <c r="CE64" s="160"/>
      <c r="CF64" s="160"/>
      <c r="CG64" s="160"/>
      <c r="CH64" s="160"/>
      <c r="CI64" s="160"/>
      <c r="CJ64" s="160"/>
      <c r="CK64" s="160"/>
      <c r="CL64" s="160"/>
      <c r="CM64" s="160"/>
      <c r="CN64" s="160"/>
      <c r="CO64" s="160"/>
      <c r="CP64" s="160"/>
      <c r="CQ64" s="160"/>
      <c r="CR64" s="160"/>
      <c r="CS64" s="160"/>
      <c r="CT64" s="160"/>
      <c r="CU64" s="160"/>
      <c r="CV64" s="160"/>
    </row>
    <row r="65" spans="3:100" ht="15">
      <c r="C65" s="22"/>
      <c r="D65" s="168"/>
      <c r="E65" s="160"/>
      <c r="F65" s="160"/>
      <c r="G65" s="160"/>
      <c r="H65" s="160"/>
      <c r="I65" s="160"/>
      <c r="J65" s="160"/>
      <c r="K65" s="160"/>
      <c r="L65" s="160"/>
      <c r="M65" s="160"/>
      <c r="N65" s="160"/>
      <c r="O65" s="160"/>
      <c r="P65" s="160"/>
      <c r="Q65" s="160"/>
      <c r="R65" s="160"/>
      <c r="S65" s="160"/>
      <c r="T65" s="160"/>
      <c r="U65" s="160"/>
      <c r="V65" s="160"/>
      <c r="W65" s="160"/>
      <c r="X65" s="176"/>
      <c r="Y65" s="176"/>
      <c r="Z65" s="160"/>
      <c r="AA65" s="160"/>
      <c r="AB65" s="176"/>
      <c r="AC65" s="176"/>
      <c r="AD65" s="176"/>
      <c r="AE65" s="176"/>
      <c r="AF65" s="176"/>
      <c r="AG65" s="176"/>
      <c r="AH65" s="176"/>
      <c r="AJ65" s="176"/>
      <c r="AK65" s="176"/>
      <c r="AL65" s="160"/>
      <c r="AM65" s="160"/>
      <c r="AN65" s="160"/>
      <c r="AO65" s="160"/>
      <c r="AP65" s="160"/>
      <c r="AQ65" s="160"/>
      <c r="AR65" s="160"/>
      <c r="AS65" s="160"/>
      <c r="AT65" s="160"/>
      <c r="AU65" s="160"/>
      <c r="AV65" s="160"/>
      <c r="AW65" s="160"/>
      <c r="AX65" s="160"/>
      <c r="AY65" s="160"/>
      <c r="AZ65" s="160"/>
      <c r="BA65" s="160"/>
      <c r="BB65" s="160"/>
      <c r="BC65" s="160"/>
      <c r="BD65" s="160"/>
      <c r="BE65" s="160"/>
      <c r="BF65" s="160"/>
      <c r="BG65" s="160"/>
      <c r="BH65" s="160"/>
      <c r="BI65" s="160"/>
      <c r="BJ65" s="160"/>
      <c r="BK65" s="160"/>
      <c r="BL65" s="160"/>
      <c r="BM65" s="160"/>
      <c r="BN65" s="160"/>
      <c r="BO65" s="160"/>
      <c r="BP65" s="160"/>
      <c r="BQ65" s="160"/>
      <c r="BR65" s="160"/>
      <c r="BS65" s="160"/>
      <c r="BT65" s="160"/>
      <c r="BU65" s="160"/>
      <c r="BV65" s="160"/>
      <c r="BW65" s="160"/>
      <c r="BX65" s="160"/>
      <c r="BY65" s="160"/>
      <c r="BZ65" s="160"/>
      <c r="CA65" s="160"/>
      <c r="CB65" s="160"/>
      <c r="CC65" s="160"/>
      <c r="CD65" s="160"/>
      <c r="CE65" s="160"/>
      <c r="CF65" s="160"/>
      <c r="CG65" s="160"/>
      <c r="CH65" s="160"/>
      <c r="CI65" s="160"/>
      <c r="CJ65" s="160"/>
      <c r="CK65" s="160"/>
      <c r="CL65" s="160"/>
      <c r="CM65" s="160"/>
      <c r="CN65" s="160"/>
      <c r="CO65" s="160"/>
      <c r="CP65" s="160"/>
      <c r="CQ65" s="160"/>
      <c r="CR65" s="160"/>
      <c r="CS65" s="160"/>
      <c r="CT65" s="160"/>
      <c r="CU65" s="160"/>
      <c r="CV65" s="160"/>
    </row>
    <row r="66" spans="3:100" ht="15">
      <c r="C66" s="48"/>
      <c r="D66" s="168"/>
      <c r="E66" s="176"/>
      <c r="F66" s="176"/>
      <c r="G66" s="176"/>
      <c r="H66" s="176"/>
      <c r="I66" s="176"/>
      <c r="J66" s="176"/>
      <c r="K66" s="176"/>
      <c r="L66" s="176"/>
      <c r="M66" s="176"/>
      <c r="N66" s="176"/>
      <c r="O66" s="176"/>
      <c r="P66" s="176"/>
      <c r="Q66" s="176"/>
      <c r="R66" s="176"/>
      <c r="S66" s="176"/>
      <c r="T66" s="176"/>
      <c r="U66" s="176"/>
      <c r="V66" s="176"/>
      <c r="W66" s="176"/>
      <c r="X66" s="176"/>
      <c r="Y66" s="176"/>
      <c r="Z66" s="160"/>
      <c r="AA66" s="160"/>
      <c r="AB66" s="176"/>
      <c r="AC66" s="176"/>
      <c r="AD66" s="176"/>
      <c r="AE66" s="176"/>
      <c r="AF66" s="176"/>
      <c r="AG66" s="176"/>
      <c r="AH66" s="176"/>
      <c r="AJ66" s="176"/>
      <c r="AK66" s="176"/>
      <c r="AL66" s="160"/>
      <c r="AM66" s="160"/>
      <c r="AN66" s="160"/>
      <c r="AO66" s="160"/>
      <c r="AP66" s="160"/>
      <c r="AQ66" s="160"/>
      <c r="AR66" s="160"/>
      <c r="AS66" s="160"/>
      <c r="AT66" s="160"/>
      <c r="AU66" s="160"/>
      <c r="AV66" s="160"/>
      <c r="AW66" s="160"/>
      <c r="AX66" s="160"/>
      <c r="AY66" s="160"/>
      <c r="AZ66" s="160"/>
      <c r="BA66" s="160"/>
      <c r="BB66" s="160"/>
      <c r="BC66" s="160"/>
      <c r="BD66" s="160"/>
      <c r="BE66" s="160"/>
      <c r="BF66" s="160"/>
      <c r="BG66" s="160"/>
      <c r="BH66" s="160"/>
      <c r="BI66" s="160"/>
      <c r="BJ66" s="160"/>
      <c r="BK66" s="160"/>
      <c r="BL66" s="160"/>
      <c r="BM66" s="160"/>
      <c r="BN66" s="160"/>
      <c r="BO66" s="160"/>
      <c r="BP66" s="160"/>
      <c r="BQ66" s="160"/>
      <c r="BR66" s="160"/>
      <c r="BS66" s="160"/>
      <c r="BT66" s="160"/>
      <c r="BU66" s="160"/>
      <c r="BV66" s="160"/>
      <c r="BW66" s="160"/>
      <c r="BX66" s="160"/>
      <c r="BY66" s="160"/>
      <c r="BZ66" s="160"/>
      <c r="CA66" s="160"/>
      <c r="CB66" s="160"/>
      <c r="CC66" s="160"/>
      <c r="CD66" s="160"/>
      <c r="CE66" s="160"/>
      <c r="CF66" s="160"/>
      <c r="CG66" s="160"/>
      <c r="CH66" s="160"/>
      <c r="CI66" s="160"/>
      <c r="CJ66" s="160"/>
      <c r="CK66" s="160"/>
      <c r="CL66" s="160"/>
      <c r="CM66" s="160"/>
      <c r="CN66" s="160"/>
      <c r="CO66" s="160"/>
      <c r="CP66" s="160"/>
      <c r="CQ66" s="160"/>
      <c r="CR66" s="160"/>
      <c r="CS66" s="160"/>
      <c r="CT66" s="160"/>
      <c r="CU66" s="160"/>
      <c r="CV66" s="160"/>
    </row>
    <row r="67" spans="3:100" ht="15">
      <c r="C67" s="188"/>
      <c r="D67" s="168"/>
      <c r="E67" s="168"/>
      <c r="F67" s="168"/>
      <c r="G67" s="168"/>
      <c r="H67" s="168"/>
      <c r="I67" s="168"/>
      <c r="J67" s="168"/>
      <c r="K67" s="168"/>
      <c r="L67" s="168"/>
      <c r="M67" s="168"/>
      <c r="N67" s="168"/>
      <c r="O67" s="168"/>
      <c r="P67" s="168"/>
      <c r="Q67" s="168"/>
      <c r="R67" s="168"/>
      <c r="S67" s="168"/>
      <c r="T67" s="168"/>
      <c r="U67" s="168"/>
      <c r="V67" s="168"/>
      <c r="W67" s="168"/>
      <c r="X67" s="160"/>
      <c r="Y67" s="160"/>
      <c r="Z67" s="199"/>
      <c r="AA67" s="160"/>
      <c r="AB67" s="160"/>
      <c r="AC67" s="160"/>
      <c r="AD67" s="160"/>
      <c r="AE67" s="160"/>
      <c r="AF67" s="160"/>
      <c r="AG67" s="160"/>
      <c r="AH67" s="160"/>
      <c r="AI67" s="160"/>
      <c r="AJ67" s="160"/>
      <c r="AK67" s="160"/>
      <c r="AL67" s="160"/>
      <c r="AM67" s="160"/>
      <c r="AN67" s="160"/>
      <c r="AO67" s="160"/>
      <c r="AP67" s="160"/>
      <c r="AQ67" s="160"/>
      <c r="AR67" s="160"/>
      <c r="AS67" s="160"/>
      <c r="AT67" s="160"/>
      <c r="AU67" s="160"/>
      <c r="AV67" s="160"/>
      <c r="AW67" s="160"/>
      <c r="AX67" s="160"/>
      <c r="AY67" s="160"/>
      <c r="AZ67" s="160"/>
      <c r="BA67" s="160"/>
      <c r="BB67" s="160"/>
      <c r="BC67" s="160"/>
      <c r="BD67" s="160"/>
      <c r="BE67" s="160"/>
      <c r="BF67" s="160"/>
      <c r="BG67" s="160"/>
      <c r="BH67" s="160"/>
      <c r="BI67" s="160"/>
      <c r="BJ67" s="160"/>
      <c r="BK67" s="160"/>
      <c r="BL67" s="160"/>
      <c r="BM67" s="160"/>
      <c r="BN67" s="160"/>
      <c r="BO67" s="160"/>
      <c r="BP67" s="160"/>
      <c r="BQ67" s="160"/>
      <c r="BR67" s="160"/>
      <c r="BS67" s="160"/>
      <c r="BT67" s="160"/>
      <c r="BU67" s="160"/>
      <c r="BV67" s="160"/>
      <c r="BW67" s="160"/>
      <c r="BX67" s="160"/>
      <c r="BY67" s="160"/>
      <c r="BZ67" s="160"/>
      <c r="CA67" s="160"/>
      <c r="CB67" s="160"/>
      <c r="CC67" s="160"/>
      <c r="CD67" s="160"/>
      <c r="CE67" s="160"/>
      <c r="CF67" s="160"/>
      <c r="CG67" s="160"/>
      <c r="CH67" s="160"/>
      <c r="CI67" s="160"/>
      <c r="CJ67" s="160"/>
      <c r="CK67" s="160"/>
      <c r="CL67" s="160"/>
      <c r="CM67" s="160"/>
      <c r="CN67" s="160"/>
      <c r="CO67" s="160"/>
      <c r="CP67" s="160"/>
      <c r="CQ67" s="160"/>
      <c r="CR67" s="160"/>
      <c r="CS67" s="160"/>
      <c r="CT67" s="160"/>
      <c r="CU67" s="160"/>
      <c r="CV67" s="160"/>
    </row>
    <row r="68" spans="3:100" ht="15">
      <c r="C68" s="188"/>
      <c r="D68" s="168"/>
      <c r="E68" s="168"/>
      <c r="F68" s="168"/>
      <c r="G68" s="168"/>
      <c r="H68" s="168"/>
      <c r="I68" s="168"/>
      <c r="J68" s="168"/>
      <c r="K68" s="168"/>
      <c r="L68" s="168"/>
      <c r="M68" s="168"/>
      <c r="N68" s="168"/>
      <c r="O68" s="168"/>
      <c r="P68" s="168"/>
      <c r="Q68" s="168"/>
      <c r="R68" s="168"/>
      <c r="S68" s="168"/>
      <c r="T68" s="168"/>
      <c r="U68" s="168"/>
      <c r="V68" s="168"/>
      <c r="W68" s="168"/>
      <c r="X68" s="160"/>
      <c r="Y68" s="160"/>
      <c r="Z68" s="160"/>
      <c r="AA68" s="160"/>
      <c r="AB68" s="160"/>
      <c r="AC68" s="160"/>
      <c r="AD68" s="160"/>
      <c r="AE68" s="160"/>
      <c r="AF68" s="160"/>
      <c r="AG68" s="160"/>
      <c r="AH68" s="160"/>
      <c r="AI68" s="160"/>
      <c r="AJ68" s="160"/>
      <c r="AK68" s="160"/>
      <c r="AL68" s="160"/>
      <c r="AM68" s="160"/>
      <c r="AN68" s="160"/>
      <c r="AO68" s="160"/>
      <c r="AP68" s="160"/>
      <c r="AQ68" s="160"/>
      <c r="AR68" s="160"/>
      <c r="AS68" s="160"/>
      <c r="AT68" s="160"/>
      <c r="AU68" s="160"/>
      <c r="AV68" s="160"/>
      <c r="AW68" s="160"/>
      <c r="AX68" s="160"/>
      <c r="AY68" s="160"/>
      <c r="AZ68" s="160"/>
      <c r="BA68" s="160"/>
      <c r="BB68" s="160"/>
      <c r="BC68" s="160"/>
      <c r="BD68" s="160"/>
      <c r="BE68" s="160"/>
      <c r="BF68" s="160"/>
      <c r="BG68" s="160"/>
      <c r="BH68" s="160"/>
      <c r="BI68" s="160"/>
      <c r="BJ68" s="160"/>
      <c r="BK68" s="160"/>
      <c r="BL68" s="160"/>
      <c r="BM68" s="160"/>
      <c r="BN68" s="160"/>
      <c r="BO68" s="160"/>
      <c r="BP68" s="160"/>
      <c r="BQ68" s="160"/>
      <c r="BR68" s="160"/>
      <c r="BS68" s="160"/>
      <c r="BT68" s="160"/>
      <c r="BU68" s="160"/>
      <c r="BV68" s="160"/>
      <c r="BW68" s="160"/>
      <c r="BX68" s="160"/>
      <c r="BY68" s="160"/>
      <c r="BZ68" s="160"/>
      <c r="CA68" s="160"/>
      <c r="CB68" s="160"/>
      <c r="CC68" s="160"/>
      <c r="CD68" s="160"/>
      <c r="CE68" s="160"/>
      <c r="CF68" s="160"/>
      <c r="CG68" s="160"/>
      <c r="CH68" s="160"/>
      <c r="CI68" s="160"/>
      <c r="CJ68" s="160"/>
      <c r="CK68" s="160"/>
      <c r="CL68" s="160"/>
      <c r="CM68" s="160"/>
      <c r="CN68" s="160"/>
      <c r="CO68" s="160"/>
      <c r="CP68" s="160"/>
      <c r="CQ68" s="160"/>
      <c r="CR68" s="160"/>
      <c r="CS68" s="160"/>
      <c r="CT68" s="160"/>
      <c r="CU68" s="160"/>
      <c r="CV68" s="160"/>
    </row>
    <row r="69" spans="3:100" ht="15">
      <c r="C69" s="83"/>
      <c r="D69" s="168"/>
      <c r="E69" s="160"/>
      <c r="F69" s="160"/>
      <c r="G69" s="160"/>
      <c r="H69" s="160"/>
      <c r="I69" s="160"/>
      <c r="J69" s="160"/>
      <c r="K69" s="160"/>
      <c r="L69" s="160"/>
      <c r="M69" s="160"/>
      <c r="N69" s="160"/>
      <c r="O69" s="160"/>
      <c r="P69" s="160"/>
      <c r="Q69" s="160"/>
      <c r="R69" s="160"/>
      <c r="S69" s="160"/>
      <c r="T69" s="160"/>
      <c r="U69" s="160"/>
      <c r="V69" s="160"/>
      <c r="W69" s="160"/>
      <c r="X69" s="160"/>
      <c r="Y69" s="160"/>
      <c r="Z69" s="160"/>
      <c r="AA69" s="160"/>
      <c r="AB69" s="160"/>
      <c r="AC69" s="160"/>
      <c r="AD69" s="160"/>
      <c r="AE69" s="160"/>
      <c r="AF69" s="160"/>
      <c r="AG69" s="160"/>
      <c r="AH69" s="160"/>
      <c r="AJ69" s="160"/>
      <c r="AK69" s="160"/>
      <c r="AL69" s="160"/>
      <c r="AM69" s="160"/>
      <c r="AN69" s="160"/>
      <c r="AO69" s="160"/>
      <c r="AP69" s="160"/>
      <c r="AQ69" s="160"/>
      <c r="AR69" s="160"/>
      <c r="AS69" s="160"/>
      <c r="AT69" s="160"/>
      <c r="AU69" s="160"/>
      <c r="AV69" s="160"/>
      <c r="AW69" s="160"/>
      <c r="AX69" s="160"/>
      <c r="AY69" s="160"/>
      <c r="AZ69" s="160"/>
      <c r="BA69" s="160"/>
      <c r="BB69" s="160"/>
      <c r="BC69" s="160"/>
      <c r="BD69" s="160"/>
      <c r="BE69" s="160"/>
      <c r="BF69" s="160"/>
      <c r="BG69" s="160"/>
      <c r="BH69" s="160"/>
      <c r="BI69" s="160"/>
      <c r="BJ69" s="160"/>
      <c r="BK69" s="160"/>
      <c r="BL69" s="160"/>
      <c r="BM69" s="160"/>
      <c r="BN69" s="160"/>
      <c r="BO69" s="160"/>
      <c r="BP69" s="160"/>
      <c r="BQ69" s="160"/>
      <c r="BR69" s="160"/>
      <c r="BS69" s="160"/>
      <c r="BT69" s="160"/>
      <c r="BU69" s="160"/>
      <c r="BV69" s="160"/>
      <c r="BW69" s="160"/>
      <c r="BX69" s="160"/>
      <c r="BY69" s="160"/>
      <c r="BZ69" s="160"/>
      <c r="CA69" s="160"/>
      <c r="CB69" s="160"/>
      <c r="CC69" s="160"/>
      <c r="CD69" s="160"/>
      <c r="CE69" s="160"/>
      <c r="CF69" s="160"/>
      <c r="CG69" s="160"/>
      <c r="CH69" s="160"/>
      <c r="CI69" s="160"/>
      <c r="CJ69" s="160"/>
      <c r="CK69" s="160"/>
      <c r="CL69" s="160"/>
      <c r="CM69" s="160"/>
      <c r="CN69" s="160"/>
      <c r="CO69" s="160"/>
      <c r="CP69" s="160"/>
      <c r="CQ69" s="160"/>
      <c r="CR69" s="160"/>
      <c r="CS69" s="160"/>
      <c r="CT69" s="160"/>
      <c r="CU69" s="160"/>
      <c r="CV69" s="160"/>
    </row>
    <row r="70" spans="3:67" ht="15">
      <c r="C70" s="83"/>
      <c r="D70" s="168"/>
      <c r="E70" s="160"/>
      <c r="F70" s="160"/>
      <c r="G70" s="160"/>
      <c r="H70" s="160"/>
      <c r="I70" s="160"/>
      <c r="J70" s="160"/>
      <c r="K70" s="160"/>
      <c r="L70" s="160"/>
      <c r="M70" s="160"/>
      <c r="N70" s="160"/>
      <c r="O70" s="160"/>
      <c r="P70" s="160"/>
      <c r="Q70" s="160"/>
      <c r="R70" s="160"/>
      <c r="S70" s="160"/>
      <c r="T70" s="160"/>
      <c r="U70" s="160"/>
      <c r="V70" s="160"/>
      <c r="W70" s="160"/>
      <c r="X70" s="200"/>
      <c r="Y70" s="160"/>
      <c r="Z70" s="160"/>
      <c r="AA70" s="160"/>
      <c r="AB70" s="160"/>
      <c r="AC70" s="160"/>
      <c r="AD70" s="160"/>
      <c r="AE70" s="160"/>
      <c r="AF70" s="160"/>
      <c r="AG70" s="160"/>
      <c r="AH70" s="160"/>
      <c r="AJ70" s="160"/>
      <c r="AK70" s="160"/>
      <c r="AL70" s="160"/>
      <c r="AM70" s="160"/>
      <c r="AN70" s="160"/>
      <c r="AO70" s="160"/>
      <c r="AP70" s="160"/>
      <c r="AQ70" s="160"/>
      <c r="AR70" s="160"/>
      <c r="AS70" s="160"/>
      <c r="AT70" s="160"/>
      <c r="AU70" s="160"/>
      <c r="AV70" s="160"/>
      <c r="AW70" s="160"/>
      <c r="AX70" s="160"/>
      <c r="AY70" s="160"/>
      <c r="AZ70" s="160"/>
      <c r="BA70" s="160"/>
      <c r="BB70" s="160"/>
      <c r="BC70" s="160"/>
      <c r="BD70" s="160"/>
      <c r="BE70" s="160"/>
      <c r="BF70" s="160"/>
      <c r="BG70" s="160"/>
      <c r="BH70" s="160"/>
      <c r="BI70" s="160"/>
      <c r="BJ70" s="160"/>
      <c r="BK70" s="160"/>
      <c r="BL70" s="160"/>
      <c r="BM70" s="160"/>
      <c r="BN70" s="160"/>
      <c r="BO70" s="160"/>
    </row>
    <row r="71" spans="3:67" ht="15">
      <c r="C71" s="188"/>
      <c r="D71" s="168"/>
      <c r="E71" s="160"/>
      <c r="F71" s="160"/>
      <c r="G71" s="160"/>
      <c r="H71" s="160"/>
      <c r="I71" s="160"/>
      <c r="J71" s="160"/>
      <c r="K71" s="160"/>
      <c r="L71" s="160"/>
      <c r="M71" s="160"/>
      <c r="N71" s="160"/>
      <c r="O71" s="160"/>
      <c r="P71" s="160"/>
      <c r="Q71" s="160"/>
      <c r="R71" s="160"/>
      <c r="S71" s="160"/>
      <c r="T71" s="160"/>
      <c r="U71" s="160"/>
      <c r="V71" s="160"/>
      <c r="W71" s="160"/>
      <c r="X71" s="176"/>
      <c r="Y71" s="176"/>
      <c r="Z71" s="160"/>
      <c r="AA71" s="160"/>
      <c r="AB71" s="176"/>
      <c r="AC71" s="176"/>
      <c r="AD71" s="176"/>
      <c r="AE71" s="176"/>
      <c r="AF71" s="176"/>
      <c r="AG71" s="176"/>
      <c r="AH71" s="176"/>
      <c r="AJ71" s="176"/>
      <c r="AK71" s="176"/>
      <c r="AL71" s="160"/>
      <c r="AM71" s="160"/>
      <c r="AN71" s="160"/>
      <c r="AO71" s="160"/>
      <c r="AP71" s="160"/>
      <c r="AQ71" s="160"/>
      <c r="AR71" s="160"/>
      <c r="AS71" s="160"/>
      <c r="AT71" s="160"/>
      <c r="AU71" s="160"/>
      <c r="AV71" s="160"/>
      <c r="AW71" s="160"/>
      <c r="AX71" s="160"/>
      <c r="AY71" s="160"/>
      <c r="AZ71" s="160"/>
      <c r="BA71" s="160"/>
      <c r="BB71" s="160"/>
      <c r="BC71" s="160"/>
      <c r="BD71" s="160"/>
      <c r="BE71" s="160"/>
      <c r="BF71" s="160"/>
      <c r="BG71" s="160"/>
      <c r="BH71" s="160"/>
      <c r="BI71" s="160"/>
      <c r="BJ71" s="160"/>
      <c r="BK71" s="160"/>
      <c r="BL71" s="160"/>
      <c r="BM71" s="160"/>
      <c r="BN71" s="160"/>
      <c r="BO71" s="160"/>
    </row>
  </sheetData>
  <sheetProtection/>
  <printOptions horizontalCentered="1" verticalCentered="1"/>
  <pageMargins left="0.75" right="0.75" top="1" bottom="1" header="0.5" footer="0.5"/>
  <pageSetup fitToHeight="1" fitToWidth="1" horizontalDpi="300" verticalDpi="300" orientation="portrait" paperSize="9" scale="47" r:id="rId1"/>
</worksheet>
</file>

<file path=xl/worksheets/sheet5.xml><?xml version="1.0" encoding="utf-8"?>
<worksheet xmlns="http://schemas.openxmlformats.org/spreadsheetml/2006/main" xmlns:r="http://schemas.openxmlformats.org/officeDocument/2006/relationships">
  <sheetPr codeName="Sheet4"/>
  <dimension ref="A1:K50"/>
  <sheetViews>
    <sheetView zoomScale="90" zoomScaleNormal="90" zoomScalePageLayoutView="0" workbookViewId="0" topLeftCell="A1">
      <selection activeCell="E24" sqref="E24"/>
    </sheetView>
  </sheetViews>
  <sheetFormatPr defaultColWidth="9.00390625" defaultRowHeight="15.75"/>
  <cols>
    <col min="1" max="1" width="9.00390625" style="75" customWidth="1"/>
    <col min="2" max="2" width="41.75390625" style="75" customWidth="1"/>
    <col min="3" max="3" width="7.75390625" style="75" customWidth="1"/>
    <col min="4" max="5" width="10.875" style="75" customWidth="1"/>
    <col min="6" max="16384" width="9.00390625" style="75" customWidth="1"/>
  </cols>
  <sheetData>
    <row r="1" spans="1:6" ht="12" customHeight="1" thickTop="1">
      <c r="A1" s="113"/>
      <c r="B1" s="114"/>
      <c r="C1" s="115"/>
      <c r="D1" s="115"/>
      <c r="E1" s="115"/>
      <c r="F1" s="116"/>
    </row>
    <row r="2" spans="1:6" s="73" customFormat="1" ht="21" customHeight="1">
      <c r="A2" s="70"/>
      <c r="B2" s="56" t="s">
        <v>129</v>
      </c>
      <c r="C2" s="71"/>
      <c r="D2" s="71"/>
      <c r="E2" s="71"/>
      <c r="F2" s="72"/>
    </row>
    <row r="3" spans="1:6" s="73" customFormat="1" ht="21" customHeight="1">
      <c r="A3" s="70"/>
      <c r="B3" s="56" t="s">
        <v>77</v>
      </c>
      <c r="C3" s="71"/>
      <c r="D3" s="71"/>
      <c r="E3" s="71"/>
      <c r="F3" s="72"/>
    </row>
    <row r="4" spans="1:6" ht="12.75" customHeight="1">
      <c r="A4" s="74"/>
      <c r="B4" s="77"/>
      <c r="F4" s="76"/>
    </row>
    <row r="5" spans="1:6" ht="12" customHeight="1">
      <c r="A5" s="74"/>
      <c r="B5" s="120"/>
      <c r="C5" s="85" t="s">
        <v>53</v>
      </c>
      <c r="D5" s="82" t="s">
        <v>50</v>
      </c>
      <c r="E5" s="82" t="s">
        <v>52</v>
      </c>
      <c r="F5" s="76"/>
    </row>
    <row r="6" spans="1:6" ht="12" customHeight="1">
      <c r="A6" s="74"/>
      <c r="B6" s="120" t="s">
        <v>57</v>
      </c>
      <c r="C6" s="85" t="s">
        <v>59</v>
      </c>
      <c r="D6" s="85" t="s">
        <v>51</v>
      </c>
      <c r="E6" s="85" t="s">
        <v>51</v>
      </c>
      <c r="F6" s="76"/>
    </row>
    <row r="7" spans="1:6" ht="12" customHeight="1">
      <c r="A7" s="74"/>
      <c r="B7" s="88"/>
      <c r="C7" s="117"/>
      <c r="D7" s="117"/>
      <c r="E7" s="117"/>
      <c r="F7" s="76"/>
    </row>
    <row r="8" spans="1:6" ht="12" customHeight="1">
      <c r="A8" s="74"/>
      <c r="B8" s="121"/>
      <c r="C8" s="117"/>
      <c r="D8" s="122"/>
      <c r="E8" s="122"/>
      <c r="F8" s="76"/>
    </row>
    <row r="9" spans="1:6" ht="12" customHeight="1">
      <c r="A9" s="74"/>
      <c r="B9" s="88" t="s">
        <v>136</v>
      </c>
      <c r="C9" s="117"/>
      <c r="D9" s="123"/>
      <c r="E9" s="123"/>
      <c r="F9" s="76"/>
    </row>
    <row r="10" spans="1:6" ht="12" customHeight="1">
      <c r="A10" s="74"/>
      <c r="B10" s="124" t="s">
        <v>54</v>
      </c>
      <c r="C10" s="117"/>
      <c r="D10" s="123">
        <v>0.45</v>
      </c>
      <c r="E10" s="123">
        <v>0.26</v>
      </c>
      <c r="F10" s="76"/>
    </row>
    <row r="11" spans="1:6" ht="12" customHeight="1">
      <c r="A11" s="74"/>
      <c r="B11" s="124" t="s">
        <v>55</v>
      </c>
      <c r="C11" s="117"/>
      <c r="D11" s="123">
        <v>0.45</v>
      </c>
      <c r="E11" s="123">
        <v>0.56</v>
      </c>
      <c r="F11" s="76"/>
    </row>
    <row r="12" spans="1:6" ht="12" customHeight="1">
      <c r="A12" s="74"/>
      <c r="B12" s="124" t="s">
        <v>56</v>
      </c>
      <c r="C12" s="122"/>
      <c r="D12" s="123">
        <v>0.1</v>
      </c>
      <c r="E12" s="123">
        <v>0.18</v>
      </c>
      <c r="F12" s="76"/>
    </row>
    <row r="13" spans="1:6" ht="12" customHeight="1">
      <c r="A13" s="74"/>
      <c r="B13" s="88" t="s">
        <v>137</v>
      </c>
      <c r="C13" s="117"/>
      <c r="D13" s="117"/>
      <c r="E13" s="117"/>
      <c r="F13" s="76"/>
    </row>
    <row r="14" spans="1:6" ht="12" customHeight="1">
      <c r="A14" s="74"/>
      <c r="B14" s="124" t="s">
        <v>54</v>
      </c>
      <c r="C14" s="117"/>
      <c r="D14" s="117">
        <v>24</v>
      </c>
      <c r="E14" s="117">
        <f>+(1+0.07)^10*D14</f>
        <v>47.211632574949576</v>
      </c>
      <c r="F14" s="76"/>
    </row>
    <row r="15" spans="1:6" ht="12" customHeight="1">
      <c r="A15" s="74"/>
      <c r="B15" s="124" t="s">
        <v>55</v>
      </c>
      <c r="C15" s="117"/>
      <c r="D15" s="117">
        <v>367</v>
      </c>
      <c r="E15" s="117">
        <f>+(1+0.07)^10*D15</f>
        <v>721.9445481252706</v>
      </c>
      <c r="F15" s="76"/>
    </row>
    <row r="16" spans="1:6" ht="12" customHeight="1">
      <c r="A16" s="74"/>
      <c r="B16" s="124" t="s">
        <v>56</v>
      </c>
      <c r="C16" s="117"/>
      <c r="D16" s="117">
        <v>1172</v>
      </c>
      <c r="E16" s="117">
        <f>+(1+0.07)^10*D16</f>
        <v>2305.501390743371</v>
      </c>
      <c r="F16" s="76"/>
    </row>
    <row r="17" spans="1:6" ht="12" customHeight="1">
      <c r="A17" s="74"/>
      <c r="B17" s="88" t="s">
        <v>142</v>
      </c>
      <c r="C17" s="117"/>
      <c r="D17" s="117"/>
      <c r="E17" s="117"/>
      <c r="F17" s="76"/>
    </row>
    <row r="18" spans="1:6" ht="12" customHeight="1">
      <c r="A18" s="74"/>
      <c r="B18" s="124" t="s">
        <v>54</v>
      </c>
      <c r="C18" s="125"/>
      <c r="D18" s="117">
        <v>16000</v>
      </c>
      <c r="E18" s="117">
        <v>20000</v>
      </c>
      <c r="F18" s="76"/>
    </row>
    <row r="19" spans="1:6" ht="12" customHeight="1">
      <c r="A19" s="74"/>
      <c r="B19" s="124" t="s">
        <v>55</v>
      </c>
      <c r="C19" s="117"/>
      <c r="D19" s="117">
        <v>50000</v>
      </c>
      <c r="E19" s="117">
        <v>75000</v>
      </c>
      <c r="F19" s="76"/>
    </row>
    <row r="20" spans="1:6" ht="12" customHeight="1">
      <c r="A20" s="74"/>
      <c r="B20" s="124" t="s">
        <v>56</v>
      </c>
      <c r="C20" s="117"/>
      <c r="D20" s="117">
        <v>250000</v>
      </c>
      <c r="E20" s="117">
        <v>325000</v>
      </c>
      <c r="F20" s="76"/>
    </row>
    <row r="21" spans="1:11" ht="12" customHeight="1">
      <c r="A21" s="74"/>
      <c r="B21" s="88" t="s">
        <v>138</v>
      </c>
      <c r="C21" s="117"/>
      <c r="D21" s="117"/>
      <c r="E21" s="117"/>
      <c r="F21" s="76"/>
      <c r="H21" s="118"/>
      <c r="I21" s="118"/>
      <c r="J21" s="118"/>
      <c r="K21" s="118"/>
    </row>
    <row r="22" spans="1:6" ht="12" customHeight="1">
      <c r="A22" s="74"/>
      <c r="B22" s="124" t="s">
        <v>58</v>
      </c>
      <c r="C22" s="117"/>
      <c r="D22" s="117">
        <v>13080</v>
      </c>
      <c r="E22" s="117">
        <v>13080</v>
      </c>
      <c r="F22" s="76"/>
    </row>
    <row r="23" spans="1:6" ht="12" customHeight="1">
      <c r="A23" s="74"/>
      <c r="B23" s="124" t="s">
        <v>55</v>
      </c>
      <c r="C23" s="117"/>
      <c r="D23" s="117">
        <v>583</v>
      </c>
      <c r="E23" s="117">
        <v>583</v>
      </c>
      <c r="F23" s="76"/>
    </row>
    <row r="24" spans="1:6" ht="12" customHeight="1">
      <c r="A24" s="74"/>
      <c r="B24" s="124" t="s">
        <v>56</v>
      </c>
      <c r="C24" s="117"/>
      <c r="D24" s="117">
        <v>1018</v>
      </c>
      <c r="E24" s="117">
        <v>1018</v>
      </c>
      <c r="F24" s="76"/>
    </row>
    <row r="25" spans="1:6" ht="12" customHeight="1">
      <c r="A25" s="74"/>
      <c r="B25" s="88" t="s">
        <v>61</v>
      </c>
      <c r="C25" s="117"/>
      <c r="D25" s="123">
        <v>0.55</v>
      </c>
      <c r="E25" s="123">
        <v>0.8</v>
      </c>
      <c r="F25" s="76"/>
    </row>
    <row r="26" spans="1:6" ht="12" customHeight="1">
      <c r="A26" s="74"/>
      <c r="B26" s="124"/>
      <c r="C26" s="117"/>
      <c r="D26" s="117"/>
      <c r="E26" s="117"/>
      <c r="F26" s="76"/>
    </row>
    <row r="27" spans="1:6" ht="12" customHeight="1">
      <c r="A27" s="74"/>
      <c r="B27" s="88" t="s">
        <v>60</v>
      </c>
      <c r="C27" s="126">
        <v>0.02</v>
      </c>
      <c r="D27" s="117"/>
      <c r="E27" s="117"/>
      <c r="F27" s="76"/>
    </row>
    <row r="28" spans="1:6" ht="12" customHeight="1">
      <c r="A28" s="74"/>
      <c r="B28" s="88"/>
      <c r="C28" s="127"/>
      <c r="D28" s="117"/>
      <c r="E28" s="117"/>
      <c r="F28" s="76"/>
    </row>
    <row r="29" spans="1:6" ht="12" customHeight="1">
      <c r="A29" s="74"/>
      <c r="B29" s="88"/>
      <c r="C29" s="127"/>
      <c r="D29" s="117"/>
      <c r="E29" s="117"/>
      <c r="F29" s="76"/>
    </row>
    <row r="30" spans="1:6" ht="12" customHeight="1" thickBot="1">
      <c r="A30" s="74"/>
      <c r="B30" s="128"/>
      <c r="C30" s="117"/>
      <c r="D30" s="117"/>
      <c r="E30" s="117"/>
      <c r="F30" s="76"/>
    </row>
    <row r="31" spans="1:6" ht="12" customHeight="1">
      <c r="A31" s="74"/>
      <c r="B31" s="98"/>
      <c r="C31" s="99"/>
      <c r="D31" s="99"/>
      <c r="E31" s="99"/>
      <c r="F31" s="76"/>
    </row>
    <row r="32" spans="1:6" ht="12" customHeight="1">
      <c r="A32" s="74"/>
      <c r="B32" s="119" t="s">
        <v>132</v>
      </c>
      <c r="C32" s="102"/>
      <c r="D32" s="102"/>
      <c r="E32" s="102"/>
      <c r="F32" s="76"/>
    </row>
    <row r="33" spans="1:6" ht="12" customHeight="1">
      <c r="A33" s="74"/>
      <c r="B33" s="75" t="s">
        <v>72</v>
      </c>
      <c r="C33" s="102"/>
      <c r="D33" s="102"/>
      <c r="E33" s="102"/>
      <c r="F33" s="76"/>
    </row>
    <row r="34" spans="1:6" ht="11.25">
      <c r="A34" s="74"/>
      <c r="B34" s="119" t="s">
        <v>133</v>
      </c>
      <c r="C34" s="77"/>
      <c r="D34" s="77"/>
      <c r="E34" s="77"/>
      <c r="F34" s="76"/>
    </row>
    <row r="35" spans="1:6" ht="11.25">
      <c r="A35" s="74"/>
      <c r="B35" s="119" t="s">
        <v>134</v>
      </c>
      <c r="C35" s="77"/>
      <c r="D35" s="77"/>
      <c r="E35" s="77"/>
      <c r="F35" s="76"/>
    </row>
    <row r="36" spans="1:6" ht="11.25">
      <c r="A36" s="74"/>
      <c r="C36" s="77"/>
      <c r="D36" s="77"/>
      <c r="E36" s="77"/>
      <c r="F36" s="76"/>
    </row>
    <row r="37" spans="1:6" ht="11.25">
      <c r="A37" s="74"/>
      <c r="C37" s="77"/>
      <c r="D37" s="77"/>
      <c r="E37" s="77"/>
      <c r="F37" s="76"/>
    </row>
    <row r="38" spans="1:6" ht="11.25">
      <c r="A38" s="74"/>
      <c r="B38" s="90">
        <v>4</v>
      </c>
      <c r="C38" s="77"/>
      <c r="D38" s="106"/>
      <c r="E38" s="106"/>
      <c r="F38" s="76"/>
    </row>
    <row r="39" spans="1:6" ht="11.25">
      <c r="A39" s="74"/>
      <c r="B39" s="90"/>
      <c r="C39" s="77"/>
      <c r="D39" s="77"/>
      <c r="E39" s="77"/>
      <c r="F39" s="76"/>
    </row>
    <row r="40" spans="1:6" ht="12" thickBot="1">
      <c r="A40" s="107"/>
      <c r="B40" s="108"/>
      <c r="C40" s="109"/>
      <c r="D40" s="109"/>
      <c r="E40" s="109"/>
      <c r="F40" s="110"/>
    </row>
    <row r="41" ht="12" thickTop="1"/>
    <row r="45" ht="11.25">
      <c r="B45" s="81"/>
    </row>
    <row r="47" spans="2:5" ht="12.75">
      <c r="B47" s="81"/>
      <c r="C47" s="111"/>
      <c r="D47" s="82"/>
      <c r="E47" s="82"/>
    </row>
    <row r="48" spans="2:5" ht="12.75">
      <c r="B48" s="81"/>
      <c r="C48" s="84"/>
      <c r="D48" s="85"/>
      <c r="E48" s="85"/>
    </row>
    <row r="49" spans="2:5" ht="12.75">
      <c r="B49" s="88"/>
      <c r="C49" s="89"/>
      <c r="D49" s="89"/>
      <c r="E49" s="89"/>
    </row>
    <row r="50" spans="2:5" ht="17.25" customHeight="1">
      <c r="B50" s="90"/>
      <c r="C50" s="89"/>
      <c r="D50" s="91"/>
      <c r="E50" s="91"/>
    </row>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1">
    <pageSetUpPr fitToPage="1"/>
  </sheetPr>
  <dimension ref="A1:J54"/>
  <sheetViews>
    <sheetView zoomScale="90" zoomScaleNormal="90" zoomScaleSheetLayoutView="70" zoomScalePageLayoutView="0" workbookViewId="0" topLeftCell="A1">
      <selection activeCell="H29" sqref="H29"/>
    </sheetView>
  </sheetViews>
  <sheetFormatPr defaultColWidth="9.00390625" defaultRowHeight="15.75"/>
  <cols>
    <col min="1" max="1" width="9.00390625" style="75" customWidth="1"/>
    <col min="2" max="2" width="33.375" style="75" customWidth="1"/>
    <col min="3" max="3" width="7.75390625" style="75" customWidth="1"/>
    <col min="4" max="4" width="13.375" style="75" customWidth="1"/>
    <col min="5" max="5" width="12.50390625" style="75" customWidth="1"/>
    <col min="6" max="7" width="10.875" style="75" customWidth="1"/>
    <col min="8" max="16384" width="9.00390625" style="75" customWidth="1"/>
  </cols>
  <sheetData>
    <row r="1" spans="1:8" s="73" customFormat="1" ht="21" customHeight="1">
      <c r="A1" s="70"/>
      <c r="B1" s="56" t="s">
        <v>129</v>
      </c>
      <c r="C1" s="71"/>
      <c r="D1" s="71"/>
      <c r="E1" s="71"/>
      <c r="F1" s="71"/>
      <c r="G1" s="71"/>
      <c r="H1" s="72"/>
    </row>
    <row r="2" spans="1:8" s="73" customFormat="1" ht="21" customHeight="1">
      <c r="A2" s="70"/>
      <c r="B2" s="56" t="s">
        <v>77</v>
      </c>
      <c r="C2" s="71"/>
      <c r="D2" s="71"/>
      <c r="E2" s="71"/>
      <c r="F2" s="71"/>
      <c r="G2" s="71"/>
      <c r="H2" s="72"/>
    </row>
    <row r="3" spans="1:8" ht="12.75" customHeight="1">
      <c r="A3" s="74"/>
      <c r="B3" s="77"/>
      <c r="H3" s="76"/>
    </row>
    <row r="4" spans="1:8" ht="12.75" customHeight="1">
      <c r="A4" s="74"/>
      <c r="B4" s="77"/>
      <c r="H4" s="76"/>
    </row>
    <row r="5" spans="1:8" ht="12.75" customHeight="1">
      <c r="A5" s="74"/>
      <c r="C5" s="78"/>
      <c r="D5" s="78"/>
      <c r="E5" s="78"/>
      <c r="F5" s="78"/>
      <c r="G5" s="78"/>
      <c r="H5" s="76"/>
    </row>
    <row r="6" spans="1:8" ht="11.25">
      <c r="A6" s="74"/>
      <c r="C6" s="79"/>
      <c r="D6" s="80"/>
      <c r="E6" s="80"/>
      <c r="F6" s="80"/>
      <c r="G6" s="80"/>
      <c r="H6" s="76"/>
    </row>
    <row r="7" spans="1:8" ht="12" customHeight="1">
      <c r="A7" s="74"/>
      <c r="B7" s="120"/>
      <c r="C7" s="132"/>
      <c r="D7" s="82" t="s">
        <v>49</v>
      </c>
      <c r="E7" s="82" t="s">
        <v>49</v>
      </c>
      <c r="F7" s="82" t="s">
        <v>47</v>
      </c>
      <c r="G7" s="83"/>
      <c r="H7" s="76"/>
    </row>
    <row r="8" spans="1:8" ht="12" customHeight="1">
      <c r="A8" s="74"/>
      <c r="B8" s="120"/>
      <c r="C8" s="85"/>
      <c r="D8" s="85" t="s">
        <v>45</v>
      </c>
      <c r="E8" s="85" t="s">
        <v>46</v>
      </c>
      <c r="F8" s="85" t="s">
        <v>44</v>
      </c>
      <c r="G8" s="86" t="s">
        <v>48</v>
      </c>
      <c r="H8" s="76"/>
    </row>
    <row r="9" spans="1:8" ht="12" customHeight="1">
      <c r="A9" s="74"/>
      <c r="B9" s="128"/>
      <c r="C9" s="117"/>
      <c r="D9" s="117" t="s">
        <v>73</v>
      </c>
      <c r="E9" s="117" t="s">
        <v>73</v>
      </c>
      <c r="F9" s="117" t="s">
        <v>34</v>
      </c>
      <c r="G9" s="117" t="s">
        <v>34</v>
      </c>
      <c r="H9" s="76"/>
    </row>
    <row r="10" spans="1:8" ht="12" customHeight="1">
      <c r="A10" s="74"/>
      <c r="B10" s="128"/>
      <c r="C10" s="117"/>
      <c r="D10" s="122"/>
      <c r="E10" s="122"/>
      <c r="F10" s="133"/>
      <c r="G10" s="126"/>
      <c r="H10" s="76"/>
    </row>
    <row r="11" spans="1:8" ht="12" customHeight="1">
      <c r="A11" s="74"/>
      <c r="B11" s="88" t="s">
        <v>1</v>
      </c>
      <c r="C11" s="117"/>
      <c r="D11" s="117"/>
      <c r="E11" s="117"/>
      <c r="F11" s="117"/>
      <c r="G11" s="137"/>
      <c r="H11" s="76"/>
    </row>
    <row r="12" spans="1:10" ht="12" customHeight="1">
      <c r="A12" s="74"/>
      <c r="B12" s="121" t="s">
        <v>2</v>
      </c>
      <c r="C12" s="117"/>
      <c r="D12" s="202">
        <v>1171802.0066790343</v>
      </c>
      <c r="E12" s="202">
        <v>5669954.5</v>
      </c>
      <c r="F12" s="202">
        <v>6386</v>
      </c>
      <c r="G12" s="202">
        <v>8405</v>
      </c>
      <c r="H12" s="76"/>
      <c r="J12" s="90"/>
    </row>
    <row r="13" spans="1:10" ht="12" customHeight="1">
      <c r="A13" s="74"/>
      <c r="B13" s="121" t="s">
        <v>3</v>
      </c>
      <c r="C13" s="117"/>
      <c r="D13" s="202">
        <v>2735786.5587651604</v>
      </c>
      <c r="E13" s="202">
        <v>13237548</v>
      </c>
      <c r="F13" s="202">
        <v>13441</v>
      </c>
      <c r="G13" s="202">
        <v>17687</v>
      </c>
      <c r="H13" s="76"/>
      <c r="J13" s="90"/>
    </row>
    <row r="14" spans="1:10" ht="12" customHeight="1">
      <c r="A14" s="74"/>
      <c r="B14" s="121" t="s">
        <v>4</v>
      </c>
      <c r="C14" s="117"/>
      <c r="D14" s="202">
        <v>1874909.829612314</v>
      </c>
      <c r="E14" s="202">
        <v>9072056</v>
      </c>
      <c r="F14" s="202">
        <v>24229</v>
      </c>
      <c r="G14" s="202">
        <v>31916</v>
      </c>
      <c r="H14" s="76"/>
      <c r="J14" s="90"/>
    </row>
    <row r="15" spans="1:10" ht="12" customHeight="1">
      <c r="A15" s="74"/>
      <c r="B15" s="121" t="s">
        <v>5</v>
      </c>
      <c r="C15" s="117"/>
      <c r="D15" s="202">
        <v>1144003.5193343156</v>
      </c>
      <c r="E15" s="202">
        <v>5535447</v>
      </c>
      <c r="F15" s="202">
        <v>4788</v>
      </c>
      <c r="G15" s="202">
        <v>6293</v>
      </c>
      <c r="H15" s="76"/>
      <c r="J15" s="90"/>
    </row>
    <row r="16" spans="1:10" ht="12" customHeight="1">
      <c r="A16" s="74"/>
      <c r="B16" s="121" t="s">
        <v>6</v>
      </c>
      <c r="C16" s="117"/>
      <c r="D16" s="202">
        <v>4041355.6946215155</v>
      </c>
      <c r="E16" s="202">
        <v>19554756.5</v>
      </c>
      <c r="F16" s="202">
        <v>10065</v>
      </c>
      <c r="G16" s="202">
        <v>13247</v>
      </c>
      <c r="H16" s="76"/>
      <c r="J16" s="90"/>
    </row>
    <row r="17" spans="1:10" ht="12" customHeight="1">
      <c r="A17" s="74"/>
      <c r="B17" s="203"/>
      <c r="C17" s="117"/>
      <c r="D17" s="117"/>
      <c r="E17" s="117"/>
      <c r="F17" s="133"/>
      <c r="G17" s="135"/>
      <c r="H17" s="76"/>
      <c r="J17" s="90"/>
    </row>
    <row r="18" spans="1:10" ht="12" customHeight="1">
      <c r="A18" s="74"/>
      <c r="B18" s="88" t="s">
        <v>7</v>
      </c>
      <c r="C18" s="117"/>
      <c r="D18" s="117"/>
      <c r="E18" s="117"/>
      <c r="F18" s="133"/>
      <c r="G18" s="135"/>
      <c r="H18" s="76"/>
      <c r="J18" s="90"/>
    </row>
    <row r="19" spans="1:10" ht="12" customHeight="1">
      <c r="A19" s="74"/>
      <c r="B19" s="121" t="s">
        <v>8</v>
      </c>
      <c r="C19" s="117"/>
      <c r="D19" s="117">
        <v>3369460</v>
      </c>
      <c r="E19" s="117">
        <v>9425682</v>
      </c>
      <c r="F19" s="133">
        <v>4233</v>
      </c>
      <c r="G19" s="135">
        <v>5901</v>
      </c>
      <c r="H19" s="76"/>
      <c r="J19" s="90"/>
    </row>
    <row r="20" spans="1:10" ht="12" customHeight="1">
      <c r="A20" s="74"/>
      <c r="B20" s="121" t="s">
        <v>9</v>
      </c>
      <c r="C20" s="117"/>
      <c r="D20" s="176">
        <v>668076</v>
      </c>
      <c r="E20" s="176">
        <v>11551811</v>
      </c>
      <c r="F20" s="176">
        <v>7316</v>
      </c>
      <c r="G20" s="176">
        <v>8403</v>
      </c>
      <c r="H20" s="76"/>
      <c r="J20" s="90"/>
    </row>
    <row r="21" spans="1:10" ht="12" customHeight="1">
      <c r="A21" s="74"/>
      <c r="B21" s="121" t="s">
        <v>10</v>
      </c>
      <c r="C21" s="117"/>
      <c r="D21" s="176">
        <v>3282086</v>
      </c>
      <c r="E21" s="176">
        <v>8584515</v>
      </c>
      <c r="F21" s="176">
        <v>5656</v>
      </c>
      <c r="G21" s="176">
        <v>6503</v>
      </c>
      <c r="H21" s="76"/>
      <c r="J21" s="90"/>
    </row>
    <row r="22" spans="1:10" ht="12" customHeight="1">
      <c r="A22" s="74"/>
      <c r="B22" s="121" t="s">
        <v>11</v>
      </c>
      <c r="C22" s="117"/>
      <c r="D22" s="117">
        <v>433938</v>
      </c>
      <c r="E22" s="117">
        <v>14943367</v>
      </c>
      <c r="F22" s="117">
        <v>9499</v>
      </c>
      <c r="G22" s="137">
        <v>10905</v>
      </c>
      <c r="H22" s="76"/>
      <c r="J22" s="90"/>
    </row>
    <row r="23" spans="1:10" ht="12" customHeight="1">
      <c r="A23" s="74"/>
      <c r="B23" s="121" t="s">
        <v>12</v>
      </c>
      <c r="C23" s="117"/>
      <c r="D23" s="202">
        <v>2042057</v>
      </c>
      <c r="E23" s="202">
        <v>16318012</v>
      </c>
      <c r="F23" s="202">
        <v>9346</v>
      </c>
      <c r="G23" s="202">
        <v>13039</v>
      </c>
      <c r="H23" s="76"/>
      <c r="J23" s="90"/>
    </row>
    <row r="24" spans="1:10" ht="12" customHeight="1">
      <c r="A24" s="74"/>
      <c r="B24" s="128" t="s">
        <v>13</v>
      </c>
      <c r="C24" s="132"/>
      <c r="D24" s="202">
        <v>2469126.095585461</v>
      </c>
      <c r="E24" s="202">
        <v>11947268</v>
      </c>
      <c r="F24" s="176">
        <v>9855</v>
      </c>
      <c r="G24" s="176">
        <v>13750</v>
      </c>
      <c r="H24" s="76"/>
      <c r="J24" s="90"/>
    </row>
    <row r="25" spans="1:10" ht="12" customHeight="1">
      <c r="A25" s="74"/>
      <c r="B25" s="121"/>
      <c r="C25" s="204"/>
      <c r="D25" s="117"/>
      <c r="E25" s="117"/>
      <c r="F25" s="117"/>
      <c r="G25" s="137"/>
      <c r="H25" s="76"/>
      <c r="J25" s="90"/>
    </row>
    <row r="26" spans="1:10" ht="12" customHeight="1">
      <c r="A26" s="74"/>
      <c r="B26" s="120" t="s">
        <v>14</v>
      </c>
      <c r="C26" s="204"/>
      <c r="D26" s="137"/>
      <c r="E26" s="137"/>
      <c r="F26" s="137"/>
      <c r="G26" s="137"/>
      <c r="H26" s="76"/>
      <c r="J26" s="90"/>
    </row>
    <row r="27" spans="1:10" ht="12" customHeight="1">
      <c r="A27" s="74"/>
      <c r="B27" s="128" t="s">
        <v>15</v>
      </c>
      <c r="C27" s="205"/>
      <c r="D27" s="202">
        <v>1315398.918237091</v>
      </c>
      <c r="E27" s="202">
        <v>6364771.5</v>
      </c>
      <c r="F27" s="202">
        <v>4585</v>
      </c>
      <c r="G27" s="202">
        <v>5641</v>
      </c>
      <c r="H27" s="76"/>
      <c r="J27" s="90"/>
    </row>
    <row r="28" spans="1:10" ht="12" customHeight="1">
      <c r="A28" s="74"/>
      <c r="B28" s="128" t="s">
        <v>16</v>
      </c>
      <c r="C28" s="117"/>
      <c r="D28" s="202">
        <v>665081.1993289934</v>
      </c>
      <c r="E28" s="202">
        <v>3218103.5</v>
      </c>
      <c r="F28" s="202">
        <v>5601</v>
      </c>
      <c r="G28" s="202">
        <v>6895</v>
      </c>
      <c r="H28" s="76"/>
      <c r="J28" s="90"/>
    </row>
    <row r="29" spans="1:10" ht="12" customHeight="1">
      <c r="A29" s="74"/>
      <c r="B29" s="128" t="s">
        <v>17</v>
      </c>
      <c r="C29" s="132"/>
      <c r="D29" s="202">
        <v>1435660.0425710783</v>
      </c>
      <c r="E29" s="202">
        <v>6946674.5</v>
      </c>
      <c r="F29" s="202">
        <v>6488</v>
      </c>
      <c r="G29" s="202">
        <v>7452</v>
      </c>
      <c r="H29" s="76"/>
      <c r="J29" s="90"/>
    </row>
    <row r="30" spans="1:10" ht="12" customHeight="1">
      <c r="A30" s="74"/>
      <c r="B30" s="128" t="s">
        <v>139</v>
      </c>
      <c r="C30" s="204"/>
      <c r="D30" s="85"/>
      <c r="E30" s="85"/>
      <c r="F30" s="85"/>
      <c r="G30" s="206"/>
      <c r="H30" s="76"/>
      <c r="J30" s="90"/>
    </row>
    <row r="31" spans="1:10" ht="12" customHeight="1">
      <c r="A31" s="74"/>
      <c r="B31" s="128" t="s">
        <v>18</v>
      </c>
      <c r="C31" s="204"/>
      <c r="D31" s="202">
        <v>1216310.8967354572</v>
      </c>
      <c r="E31" s="202">
        <v>5885318</v>
      </c>
      <c r="F31" s="202">
        <v>2031</v>
      </c>
      <c r="G31" s="202">
        <v>2493</v>
      </c>
      <c r="H31" s="76"/>
      <c r="J31" s="90"/>
    </row>
    <row r="32" spans="1:10" ht="12" customHeight="1">
      <c r="A32" s="74"/>
      <c r="B32" s="128" t="s">
        <v>140</v>
      </c>
      <c r="C32" s="205"/>
      <c r="D32" s="85"/>
      <c r="E32" s="85"/>
      <c r="F32" s="85"/>
      <c r="G32" s="206"/>
      <c r="H32" s="76"/>
      <c r="J32" s="90"/>
    </row>
    <row r="33" spans="1:10" ht="12" customHeight="1">
      <c r="A33" s="74"/>
      <c r="B33" s="128" t="s">
        <v>19</v>
      </c>
      <c r="C33" s="117"/>
      <c r="D33" s="202">
        <v>1022550.7433970376</v>
      </c>
      <c r="E33" s="202">
        <v>4947778</v>
      </c>
      <c r="F33" s="202">
        <v>3424</v>
      </c>
      <c r="G33" s="202">
        <v>4506</v>
      </c>
      <c r="H33" s="76"/>
      <c r="J33" s="90"/>
    </row>
    <row r="34" spans="1:10" ht="12" customHeight="1">
      <c r="A34" s="74"/>
      <c r="B34" s="128" t="s">
        <v>20</v>
      </c>
      <c r="C34" s="117"/>
      <c r="D34" s="202">
        <v>650759.5765438653</v>
      </c>
      <c r="E34" s="117">
        <v>3148806</v>
      </c>
      <c r="F34" s="133">
        <v>3801</v>
      </c>
      <c r="G34" s="135">
        <v>5009</v>
      </c>
      <c r="H34" s="76"/>
      <c r="J34" s="90"/>
    </row>
    <row r="35" spans="1:10" ht="12" customHeight="1">
      <c r="A35" s="74"/>
      <c r="B35" s="128" t="s">
        <v>21</v>
      </c>
      <c r="C35" s="117"/>
      <c r="D35" s="202">
        <v>1964712.1240307603</v>
      </c>
      <c r="E35" s="202">
        <v>9506579</v>
      </c>
      <c r="F35" s="202">
        <v>10208</v>
      </c>
      <c r="G35" s="202">
        <v>13446</v>
      </c>
      <c r="H35" s="76"/>
      <c r="J35" s="90"/>
    </row>
    <row r="36" spans="1:10" ht="12" customHeight="1">
      <c r="A36" s="74"/>
      <c r="B36" s="128" t="s">
        <v>22</v>
      </c>
      <c r="C36" s="117"/>
      <c r="D36" s="202">
        <v>997006.7013375252</v>
      </c>
      <c r="E36" s="202">
        <v>4824179</v>
      </c>
      <c r="F36" s="202">
        <v>3801</v>
      </c>
      <c r="G36" s="202">
        <v>5009</v>
      </c>
      <c r="H36" s="76"/>
      <c r="J36" s="90"/>
    </row>
    <row r="37" spans="1:10" ht="12" customHeight="1">
      <c r="A37" s="74"/>
      <c r="B37" s="128" t="s">
        <v>23</v>
      </c>
      <c r="C37" s="117"/>
      <c r="D37" s="202">
        <v>744703.6146244257</v>
      </c>
      <c r="E37" s="202">
        <v>3603369.5</v>
      </c>
      <c r="F37" s="202">
        <v>2829</v>
      </c>
      <c r="G37" s="202">
        <v>3721</v>
      </c>
      <c r="H37" s="76"/>
      <c r="J37" s="90"/>
    </row>
    <row r="38" spans="1:10" ht="12" customHeight="1">
      <c r="A38" s="74"/>
      <c r="B38" s="128" t="s">
        <v>24</v>
      </c>
      <c r="C38" s="117"/>
      <c r="D38" s="202">
        <v>2257131.254693146</v>
      </c>
      <c r="E38" s="202">
        <v>10921496.5</v>
      </c>
      <c r="F38" s="202">
        <v>11669</v>
      </c>
      <c r="G38" s="202">
        <v>15362</v>
      </c>
      <c r="H38" s="76"/>
      <c r="J38" s="90"/>
    </row>
    <row r="39" spans="1:8" ht="12" customHeight="1">
      <c r="A39" s="74"/>
      <c r="B39" s="120"/>
      <c r="C39" s="85"/>
      <c r="D39" s="85"/>
      <c r="E39" s="85"/>
      <c r="F39" s="85"/>
      <c r="G39" s="206"/>
      <c r="H39" s="76"/>
    </row>
    <row r="40" spans="1:8" ht="12" customHeight="1">
      <c r="A40" s="74"/>
      <c r="B40" s="81" t="s">
        <v>41</v>
      </c>
      <c r="C40" s="84"/>
      <c r="D40" s="24">
        <f>SUM(D12:D38)</f>
        <v>35501915.77609718</v>
      </c>
      <c r="E40" s="24">
        <f>SUM(E12:E38)</f>
        <v>185207492.5</v>
      </c>
      <c r="F40" s="24">
        <f>SUM(F12:F38)</f>
        <v>159251</v>
      </c>
      <c r="G40" s="24">
        <f>SUM(G12:G38)</f>
        <v>205583</v>
      </c>
      <c r="H40" s="76"/>
    </row>
    <row r="41" spans="1:8" ht="12" customHeight="1" thickBot="1">
      <c r="A41" s="74"/>
      <c r="B41" s="128"/>
      <c r="C41" s="117"/>
      <c r="D41" s="117"/>
      <c r="E41" s="117"/>
      <c r="F41" s="117"/>
      <c r="G41" s="117"/>
      <c r="H41" s="76"/>
    </row>
    <row r="42" spans="1:8" ht="12" customHeight="1">
      <c r="A42" s="74"/>
      <c r="B42" s="98"/>
      <c r="C42" s="99"/>
      <c r="D42" s="99"/>
      <c r="E42" s="99"/>
      <c r="F42" s="99"/>
      <c r="G42" s="99"/>
      <c r="H42" s="76"/>
    </row>
    <row r="43" spans="1:8" ht="12" customHeight="1">
      <c r="A43" s="74"/>
      <c r="B43" s="119" t="s">
        <v>135</v>
      </c>
      <c r="C43" s="102"/>
      <c r="D43" s="102"/>
      <c r="E43" s="102"/>
      <c r="F43" s="105"/>
      <c r="G43" s="105"/>
      <c r="H43" s="76"/>
    </row>
    <row r="44" spans="1:8" ht="11.25">
      <c r="A44" s="74"/>
      <c r="C44" s="77"/>
      <c r="D44" s="77"/>
      <c r="E44" s="77"/>
      <c r="F44" s="77"/>
      <c r="G44" s="77"/>
      <c r="H44" s="76"/>
    </row>
    <row r="45" spans="1:8" ht="11.25">
      <c r="A45" s="74"/>
      <c r="B45" s="90"/>
      <c r="C45" s="77"/>
      <c r="D45" s="106"/>
      <c r="E45" s="106"/>
      <c r="F45" s="77"/>
      <c r="G45" s="77"/>
      <c r="H45" s="76"/>
    </row>
    <row r="46" spans="1:8" ht="11.25">
      <c r="A46" s="74"/>
      <c r="B46" s="90"/>
      <c r="C46" s="77"/>
      <c r="D46" s="77"/>
      <c r="E46" s="77"/>
      <c r="F46" s="77"/>
      <c r="G46" s="77"/>
      <c r="H46" s="76"/>
    </row>
    <row r="47" spans="1:8" ht="12" thickBot="1">
      <c r="A47" s="107"/>
      <c r="B47" s="108"/>
      <c r="C47" s="109"/>
      <c r="D47" s="109"/>
      <c r="E47" s="109"/>
      <c r="F47" s="109"/>
      <c r="G47" s="109"/>
      <c r="H47" s="110"/>
    </row>
    <row r="48" ht="12" thickTop="1"/>
    <row r="49" ht="11.25">
      <c r="B49" s="81"/>
    </row>
    <row r="50" spans="2:7" ht="12.75">
      <c r="B50" s="81"/>
      <c r="C50" s="111"/>
      <c r="D50" s="82"/>
      <c r="E50" s="82"/>
      <c r="F50" s="82"/>
      <c r="G50" s="83"/>
    </row>
    <row r="51" spans="2:7" ht="12.75">
      <c r="B51" s="81"/>
      <c r="C51" s="84"/>
      <c r="D51" s="85"/>
      <c r="E51" s="85"/>
      <c r="F51" s="85"/>
      <c r="G51" s="86"/>
    </row>
    <row r="52" spans="3:7" ht="11.25">
      <c r="C52" s="89"/>
      <c r="D52" s="89"/>
      <c r="E52" s="89"/>
      <c r="F52" s="89"/>
      <c r="G52" s="89"/>
    </row>
    <row r="53" spans="2:7" ht="17.25" customHeight="1">
      <c r="B53" s="90"/>
      <c r="C53" s="89"/>
      <c r="D53" s="89"/>
      <c r="E53" s="89"/>
      <c r="F53" s="89"/>
      <c r="G53" s="89"/>
    </row>
    <row r="54" ht="17.25" customHeight="1">
      <c r="H54" s="7"/>
    </row>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sheetData>
  <sheetProtection/>
  <printOptions horizontalCentered="1" verticalCentered="1"/>
  <pageMargins left="0.28" right="0.275590551181102" top="0.63" bottom="0.42" header="0.275590551181102" footer="0.21"/>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3"/>
  <dimension ref="A1:N48"/>
  <sheetViews>
    <sheetView zoomScale="90" zoomScaleNormal="90" zoomScalePageLayoutView="0" workbookViewId="0" topLeftCell="B1">
      <selection activeCell="D20" sqref="D20"/>
    </sheetView>
  </sheetViews>
  <sheetFormatPr defaultColWidth="9.00390625" defaultRowHeight="15.75"/>
  <cols>
    <col min="1" max="1" width="9.00390625" style="75" customWidth="1"/>
    <col min="2" max="2" width="33.375" style="75" customWidth="1"/>
    <col min="3" max="3" width="7.75390625" style="75" customWidth="1"/>
    <col min="4" max="13" width="10.875" style="75" customWidth="1"/>
    <col min="14" max="16384" width="9.00390625" style="75" customWidth="1"/>
  </cols>
  <sheetData>
    <row r="1" spans="1:14" s="73" customFormat="1" ht="21" customHeight="1">
      <c r="A1" s="70"/>
      <c r="B1" s="56" t="s">
        <v>129</v>
      </c>
      <c r="C1" s="71"/>
      <c r="D1" s="71"/>
      <c r="E1" s="71"/>
      <c r="F1" s="71"/>
      <c r="G1" s="71"/>
      <c r="H1" s="71"/>
      <c r="I1" s="71"/>
      <c r="J1" s="71"/>
      <c r="K1" s="71"/>
      <c r="L1" s="71"/>
      <c r="M1" s="71"/>
      <c r="N1" s="72"/>
    </row>
    <row r="2" spans="1:14" s="73" customFormat="1" ht="21" customHeight="1">
      <c r="A2" s="70"/>
      <c r="B2" s="56" t="s">
        <v>77</v>
      </c>
      <c r="C2" s="71"/>
      <c r="D2" s="71"/>
      <c r="E2" s="71"/>
      <c r="F2" s="71"/>
      <c r="G2" s="71"/>
      <c r="H2" s="71"/>
      <c r="I2" s="71"/>
      <c r="J2" s="71"/>
      <c r="K2" s="71"/>
      <c r="L2" s="71"/>
      <c r="M2" s="71"/>
      <c r="N2" s="72"/>
    </row>
    <row r="3" spans="1:14" ht="12.75" customHeight="1">
      <c r="A3" s="74"/>
      <c r="B3" s="77"/>
      <c r="N3" s="76"/>
    </row>
    <row r="4" spans="1:14" ht="12.75" customHeight="1">
      <c r="A4" s="74"/>
      <c r="B4" s="77"/>
      <c r="N4" s="76"/>
    </row>
    <row r="5" spans="1:14" ht="12.75" customHeight="1">
      <c r="A5" s="74"/>
      <c r="C5" s="78"/>
      <c r="D5" s="78"/>
      <c r="E5" s="78"/>
      <c r="F5" s="78"/>
      <c r="G5" s="78"/>
      <c r="H5" s="78"/>
      <c r="I5" s="78"/>
      <c r="J5" s="78"/>
      <c r="K5" s="78"/>
      <c r="L5" s="78"/>
      <c r="M5" s="78"/>
      <c r="N5" s="76"/>
    </row>
    <row r="6" spans="1:14" ht="12.75">
      <c r="A6" s="74"/>
      <c r="B6" s="128"/>
      <c r="C6" s="129"/>
      <c r="D6" s="130"/>
      <c r="E6" s="130"/>
      <c r="F6" s="130"/>
      <c r="G6" s="130"/>
      <c r="H6" s="130"/>
      <c r="I6" s="131"/>
      <c r="J6" s="131"/>
      <c r="K6" s="131"/>
      <c r="L6" s="131"/>
      <c r="M6" s="131"/>
      <c r="N6" s="76"/>
    </row>
    <row r="7" spans="1:14" ht="12" customHeight="1">
      <c r="A7" s="74"/>
      <c r="B7" s="120" t="s">
        <v>62</v>
      </c>
      <c r="C7" s="132"/>
      <c r="D7" s="82">
        <v>1</v>
      </c>
      <c r="E7" s="82">
        <v>2</v>
      </c>
      <c r="F7" s="82">
        <v>3</v>
      </c>
      <c r="G7" s="83">
        <v>4</v>
      </c>
      <c r="H7" s="83">
        <v>5</v>
      </c>
      <c r="I7" s="83">
        <v>6</v>
      </c>
      <c r="J7" s="83">
        <v>7</v>
      </c>
      <c r="K7" s="83">
        <v>8</v>
      </c>
      <c r="L7" s="83">
        <v>9</v>
      </c>
      <c r="M7" s="83">
        <v>10</v>
      </c>
      <c r="N7" s="76"/>
    </row>
    <row r="8" spans="1:14" ht="12" customHeight="1">
      <c r="A8" s="74"/>
      <c r="B8" s="120"/>
      <c r="C8" s="85"/>
      <c r="D8" s="85"/>
      <c r="E8" s="85"/>
      <c r="F8" s="85"/>
      <c r="G8" s="86"/>
      <c r="H8" s="87"/>
      <c r="I8" s="87"/>
      <c r="J8" s="87"/>
      <c r="K8" s="87"/>
      <c r="L8" s="87"/>
      <c r="M8" s="87"/>
      <c r="N8" s="76"/>
    </row>
    <row r="9" spans="1:14" ht="12" customHeight="1">
      <c r="A9" s="74"/>
      <c r="B9" s="88" t="s">
        <v>43</v>
      </c>
      <c r="C9" s="117"/>
      <c r="D9" s="117"/>
      <c r="E9" s="117"/>
      <c r="F9" s="117"/>
      <c r="G9" s="117"/>
      <c r="H9" s="117"/>
      <c r="I9" s="131"/>
      <c r="J9" s="131"/>
      <c r="K9" s="131"/>
      <c r="L9" s="131"/>
      <c r="M9" s="131"/>
      <c r="N9" s="76"/>
    </row>
    <row r="10" spans="1:14" ht="12" customHeight="1">
      <c r="A10" s="74"/>
      <c r="B10" s="121"/>
      <c r="C10" s="117"/>
      <c r="D10" s="122"/>
      <c r="E10" s="122"/>
      <c r="F10" s="133"/>
      <c r="G10" s="126"/>
      <c r="H10" s="126"/>
      <c r="I10" s="126"/>
      <c r="J10" s="134"/>
      <c r="K10" s="134"/>
      <c r="L10" s="134"/>
      <c r="M10" s="134"/>
      <c r="N10" s="76"/>
    </row>
    <row r="11" spans="1:14" ht="12" customHeight="1">
      <c r="A11" s="74"/>
      <c r="B11" s="121" t="s">
        <v>63</v>
      </c>
      <c r="C11" s="117"/>
      <c r="D11" s="117">
        <f>Projects!G40-Projects!F40</f>
        <v>46332</v>
      </c>
      <c r="E11" s="117">
        <f>+((Projects!$G$40/Projects!$F$40)^(1/9)*(1+Assumptions!$C$27))*D11</f>
        <v>48618.77371520623</v>
      </c>
      <c r="F11" s="117">
        <f>+((Projects!$G$40/Projects!$F$40)^(1/9)*(1+Assumptions!$C$27))*E11</f>
        <v>51018.414002642414</v>
      </c>
      <c r="G11" s="117">
        <f>+((Projects!$G$40/Projects!$F$40)^(1/9)*(1+Assumptions!$C$27))*F11</f>
        <v>53536.49153291851</v>
      </c>
      <c r="H11" s="117">
        <f>+((Projects!$G$40/Projects!$F$40)^(1/9)*(1+Assumptions!$C$27))*G11</f>
        <v>56178.85192404859</v>
      </c>
      <c r="I11" s="117">
        <f>+((Projects!$G$40/Projects!$F$40)^(1/9)*(1+Assumptions!$C$27))*H11</f>
        <v>58951.62931182329</v>
      </c>
      <c r="J11" s="117">
        <f>+((Projects!$G$40/Projects!$F$40)^(1/9)*(1+Assumptions!$C$27))*I11</f>
        <v>61861.26058996494</v>
      </c>
      <c r="K11" s="117">
        <f>+((Projects!$G$40/Projects!$F$40)^(1/9)*(1+Assumptions!$C$27))*J11</f>
        <v>64914.500353123345</v>
      </c>
      <c r="L11" s="117">
        <f>+((Projects!$G$40/Projects!$F$40)^(1/9)*(1+Assumptions!$C$27))*K11</f>
        <v>68118.43657740178</v>
      </c>
      <c r="M11" s="117">
        <f>+((Projects!$G$40/Projects!$F$40)^(1/9)*(1+Assumptions!$C$27))*L11</f>
        <v>71480.50707481492</v>
      </c>
      <c r="N11" s="76"/>
    </row>
    <row r="12" spans="1:14" ht="12" customHeight="1">
      <c r="A12" s="74"/>
      <c r="B12" s="121"/>
      <c r="C12" s="117"/>
      <c r="D12" s="117"/>
      <c r="E12" s="117"/>
      <c r="F12" s="133"/>
      <c r="G12" s="135"/>
      <c r="H12" s="135"/>
      <c r="I12" s="126"/>
      <c r="J12" s="134"/>
      <c r="K12" s="134"/>
      <c r="L12" s="134"/>
      <c r="M12" s="134"/>
      <c r="N12" s="76"/>
    </row>
    <row r="13" spans="1:14" ht="12" customHeight="1">
      <c r="A13" s="74"/>
      <c r="B13" s="121" t="s">
        <v>64</v>
      </c>
      <c r="C13" s="117"/>
      <c r="D13" s="117"/>
      <c r="E13" s="117"/>
      <c r="F13" s="117"/>
      <c r="G13" s="135"/>
      <c r="H13" s="135"/>
      <c r="I13" s="126"/>
      <c r="J13" s="134"/>
      <c r="K13" s="134"/>
      <c r="L13" s="134"/>
      <c r="M13" s="134"/>
      <c r="N13" s="76"/>
    </row>
    <row r="14" spans="1:14" ht="12" customHeight="1">
      <c r="A14" s="74"/>
      <c r="B14" s="124" t="s">
        <v>54</v>
      </c>
      <c r="C14" s="117"/>
      <c r="D14" s="117">
        <f>+D$11*Assumptions!D10</f>
        <v>20849.4</v>
      </c>
      <c r="E14" s="117">
        <f>1/($D$14/$M$14)^(1/9)*D14</f>
        <v>20584.74521888412</v>
      </c>
      <c r="F14" s="117">
        <f aca="true" t="shared" si="0" ref="F14:L14">1/($D$14/$M$14)^(1/9)*E14</f>
        <v>20323.44987032589</v>
      </c>
      <c r="G14" s="117">
        <f t="shared" si="0"/>
        <v>20065.47131089729</v>
      </c>
      <c r="H14" s="117">
        <f t="shared" si="0"/>
        <v>19810.767438470626</v>
      </c>
      <c r="I14" s="117">
        <f t="shared" si="0"/>
        <v>19559.296685347465</v>
      </c>
      <c r="J14" s="117">
        <f t="shared" si="0"/>
        <v>19311.018011474778</v>
      </c>
      <c r="K14" s="117">
        <f t="shared" si="0"/>
        <v>19065.890897747202</v>
      </c>
      <c r="L14" s="117">
        <f t="shared" si="0"/>
        <v>18823.875339394323</v>
      </c>
      <c r="M14" s="133">
        <f>+M$11*Assumptions!E10</f>
        <v>18584.931839451878</v>
      </c>
      <c r="N14" s="76"/>
    </row>
    <row r="15" spans="1:14" ht="12" customHeight="1">
      <c r="A15" s="74"/>
      <c r="B15" s="124" t="s">
        <v>55</v>
      </c>
      <c r="C15" s="117"/>
      <c r="D15" s="117">
        <f>+D$11*Assumptions!D11</f>
        <v>20849.4</v>
      </c>
      <c r="E15" s="117">
        <f>(1+($M$14/$D$14))^(1/9)*D15</f>
        <v>22379.325736149207</v>
      </c>
      <c r="F15" s="117">
        <f aca="true" t="shared" si="1" ref="F15:L15">(1+($M$14/$D$14))^(1/9)*E15</f>
        <v>24021.517185370813</v>
      </c>
      <c r="G15" s="117">
        <f t="shared" si="1"/>
        <v>25784.212388266304</v>
      </c>
      <c r="H15" s="117">
        <f t="shared" si="1"/>
        <v>27676.253891577948</v>
      </c>
      <c r="I15" s="117">
        <f t="shared" si="1"/>
        <v>29707.133106755588</v>
      </c>
      <c r="J15" s="117">
        <f t="shared" si="1"/>
        <v>31887.037923548178</v>
      </c>
      <c r="K15" s="117">
        <f t="shared" si="1"/>
        <v>34226.903817473285</v>
      </c>
      <c r="L15" s="117">
        <f t="shared" si="1"/>
        <v>36738.468707544744</v>
      </c>
      <c r="M15" s="133">
        <f>+M$11*Assumptions!E11</f>
        <v>40029.08396189636</v>
      </c>
      <c r="N15" s="76"/>
    </row>
    <row r="16" spans="1:14" ht="12" customHeight="1">
      <c r="A16" s="74"/>
      <c r="B16" s="124" t="s">
        <v>56</v>
      </c>
      <c r="C16" s="117"/>
      <c r="D16" s="117">
        <f>+D$11*Assumptions!D12</f>
        <v>4633.2</v>
      </c>
      <c r="E16" s="117">
        <f>(1+($M$15/$D$15))^(1/9)*D16</f>
        <v>5219.01872641604</v>
      </c>
      <c r="F16" s="117">
        <f aca="true" t="shared" si="2" ref="F16:L16">(1+($M$15/$D$15))^(1/9)*E16</f>
        <v>5878.907982966699</v>
      </c>
      <c r="G16" s="117">
        <f t="shared" si="2"/>
        <v>6622.233198217205</v>
      </c>
      <c r="H16" s="117">
        <f t="shared" si="2"/>
        <v>7459.5439592915445</v>
      </c>
      <c r="I16" s="117">
        <f t="shared" si="2"/>
        <v>8402.72373609303</v>
      </c>
      <c r="J16" s="117">
        <f t="shared" si="2"/>
        <v>9465.158536555746</v>
      </c>
      <c r="K16" s="117">
        <f t="shared" si="2"/>
        <v>10661.926886553805</v>
      </c>
      <c r="L16" s="117">
        <f t="shared" si="2"/>
        <v>12010.013830743976</v>
      </c>
      <c r="M16" s="133">
        <f>+M$11*Assumptions!E12</f>
        <v>12866.491273466685</v>
      </c>
      <c r="N16" s="76"/>
    </row>
    <row r="17" spans="1:14" ht="12" customHeight="1">
      <c r="A17" s="74"/>
      <c r="B17" s="121"/>
      <c r="C17" s="117"/>
      <c r="D17" s="117"/>
      <c r="E17" s="117"/>
      <c r="F17" s="133"/>
      <c r="G17" s="135"/>
      <c r="H17" s="135"/>
      <c r="I17" s="126"/>
      <c r="J17" s="134"/>
      <c r="K17" s="134"/>
      <c r="L17" s="134"/>
      <c r="M17" s="134"/>
      <c r="N17" s="76"/>
    </row>
    <row r="18" spans="1:14" ht="12" customHeight="1">
      <c r="A18" s="74"/>
      <c r="B18" s="121" t="s">
        <v>65</v>
      </c>
      <c r="C18" s="117"/>
      <c r="D18" s="128"/>
      <c r="E18" s="117"/>
      <c r="F18" s="117"/>
      <c r="G18" s="135"/>
      <c r="H18" s="135"/>
      <c r="I18" s="126"/>
      <c r="J18" s="134"/>
      <c r="K18" s="134"/>
      <c r="L18" s="134"/>
      <c r="M18" s="134"/>
      <c r="N18" s="76"/>
    </row>
    <row r="19" spans="1:14" ht="12" customHeight="1">
      <c r="A19" s="74"/>
      <c r="B19" s="124" t="s">
        <v>54</v>
      </c>
      <c r="C19" s="117"/>
      <c r="D19" s="117">
        <f>+D14*Assumptions!D14*12</f>
        <v>6004627.2</v>
      </c>
      <c r="E19" s="117">
        <f>+($M19/$D19)^(1/9)*D19</f>
        <v>6391262.066316176</v>
      </c>
      <c r="F19" s="117">
        <f aca="true" t="shared" si="3" ref="F19:L19">+($M19/$D19)^(1/9)*E19</f>
        <v>6802792.153413307</v>
      </c>
      <c r="G19" s="117">
        <f t="shared" si="3"/>
        <v>7240820.451791544</v>
      </c>
      <c r="H19" s="117">
        <f t="shared" si="3"/>
        <v>7707053.167687355</v>
      </c>
      <c r="I19" s="117">
        <f t="shared" si="3"/>
        <v>8203306.369081849</v>
      </c>
      <c r="J19" s="117">
        <f t="shared" si="3"/>
        <v>8731513.059642188</v>
      </c>
      <c r="K19" s="117">
        <f t="shared" si="3"/>
        <v>9293730.708150443</v>
      </c>
      <c r="L19" s="117">
        <f t="shared" si="3"/>
        <v>9892149.262748517</v>
      </c>
      <c r="M19" s="133">
        <f>+M14*Assumptions!E14*12</f>
        <v>10529099.681216206</v>
      </c>
      <c r="N19" s="76"/>
    </row>
    <row r="20" spans="1:14" ht="12" customHeight="1">
      <c r="A20" s="74"/>
      <c r="B20" s="124" t="s">
        <v>55</v>
      </c>
      <c r="C20" s="117"/>
      <c r="D20" s="117">
        <f>+D15*Assumptions!D15*12</f>
        <v>91820757.60000001</v>
      </c>
      <c r="E20" s="117">
        <f aca="true" t="shared" si="4" ref="E20:L20">+($M20/$D20)^(1/9)*D20</f>
        <v>106430303.70171392</v>
      </c>
      <c r="F20" s="117">
        <f t="shared" si="4"/>
        <v>123364365.98993012</v>
      </c>
      <c r="G20" s="117">
        <f t="shared" si="4"/>
        <v>142992796.851827</v>
      </c>
      <c r="H20" s="117">
        <f t="shared" si="4"/>
        <v>165744295.66781777</v>
      </c>
      <c r="I20" s="117">
        <f t="shared" si="4"/>
        <v>192115771.92162603</v>
      </c>
      <c r="J20" s="117">
        <f t="shared" si="4"/>
        <v>222683198.0692333</v>
      </c>
      <c r="K20" s="117">
        <f t="shared" si="4"/>
        <v>258114189.2013469</v>
      </c>
      <c r="L20" s="117">
        <f t="shared" si="4"/>
        <v>299182584.2484771</v>
      </c>
      <c r="M20" s="133">
        <f>+M15*Assumptions!E15*12</f>
        <v>346785347.1928774</v>
      </c>
      <c r="N20" s="76"/>
    </row>
    <row r="21" spans="1:14" ht="12" customHeight="1">
      <c r="A21" s="74"/>
      <c r="B21" s="124" t="s">
        <v>56</v>
      </c>
      <c r="C21" s="117"/>
      <c r="D21" s="117">
        <f>+D16*Assumptions!D16*12</f>
        <v>65161324.8</v>
      </c>
      <c r="E21" s="117">
        <f aca="true" t="shared" si="5" ref="E21:L21">+($M21/$D21)^(1/9)*D21</f>
        <v>78691008.62886268</v>
      </c>
      <c r="F21" s="117">
        <f t="shared" si="5"/>
        <v>95029910.11974853</v>
      </c>
      <c r="G21" s="117">
        <f t="shared" si="5"/>
        <v>114761317.39471903</v>
      </c>
      <c r="H21" s="117">
        <f t="shared" si="5"/>
        <v>138589628.81871125</v>
      </c>
      <c r="I21" s="117">
        <f t="shared" si="5"/>
        <v>167365499.56154487</v>
      </c>
      <c r="J21" s="117">
        <f t="shared" si="5"/>
        <v>202116209.43243068</v>
      </c>
      <c r="K21" s="117">
        <f t="shared" si="5"/>
        <v>244082336.09885752</v>
      </c>
      <c r="L21" s="117">
        <f t="shared" si="5"/>
        <v>294762042.8998423</v>
      </c>
      <c r="M21" s="133">
        <f>+M16*Assumptions!E16*12</f>
        <v>355964562.29957867</v>
      </c>
      <c r="N21" s="76"/>
    </row>
    <row r="22" spans="1:14" ht="12" customHeight="1">
      <c r="A22" s="74"/>
      <c r="B22" s="121"/>
      <c r="C22" s="117"/>
      <c r="D22" s="117"/>
      <c r="E22" s="136"/>
      <c r="F22" s="117"/>
      <c r="G22" s="135"/>
      <c r="H22" s="135"/>
      <c r="I22" s="126"/>
      <c r="J22" s="134"/>
      <c r="K22" s="134"/>
      <c r="L22" s="134"/>
      <c r="M22" s="134"/>
      <c r="N22" s="76"/>
    </row>
    <row r="23" spans="1:14" ht="12" customHeight="1">
      <c r="A23" s="74"/>
      <c r="B23" s="121" t="s">
        <v>66</v>
      </c>
      <c r="C23" s="117"/>
      <c r="D23" s="117"/>
      <c r="E23" s="117"/>
      <c r="F23" s="117"/>
      <c r="G23" s="137"/>
      <c r="H23" s="137"/>
      <c r="I23" s="123"/>
      <c r="J23" s="122"/>
      <c r="K23" s="122"/>
      <c r="L23" s="122"/>
      <c r="M23" s="122"/>
      <c r="N23" s="76"/>
    </row>
    <row r="24" spans="1:14" ht="12" customHeight="1">
      <c r="A24" s="74"/>
      <c r="B24" s="124" t="s">
        <v>54</v>
      </c>
      <c r="C24" s="117"/>
      <c r="D24" s="117">
        <f>+D14*Assumptions!$D22*12/1000000</f>
        <v>3272.521824</v>
      </c>
      <c r="E24" s="117">
        <f>+E14*Assumptions!$D22*12/1000000</f>
        <v>3230.9816095560514</v>
      </c>
      <c r="F24" s="117">
        <f>+F14*Assumptions!$D22*12/1000000</f>
        <v>3189.968691646352</v>
      </c>
      <c r="G24" s="117">
        <f>+G14*Assumptions!$D22*12/1000000</f>
        <v>3149.476376958439</v>
      </c>
      <c r="H24" s="117">
        <f>+H14*Assumptions!$D22*12/1000000</f>
        <v>3109.49805714235</v>
      </c>
      <c r="I24" s="117">
        <f>+I14*Assumptions!$D22*12/1000000</f>
        <v>3070.0272077321383</v>
      </c>
      <c r="J24" s="117">
        <f>+J14*Assumptions!$D22*12/1000000</f>
        <v>3031.0573870810813</v>
      </c>
      <c r="K24" s="117">
        <f>+K14*Assumptions!$D22*12/1000000</f>
        <v>2992.582235310401</v>
      </c>
      <c r="L24" s="117">
        <f>+L14*Assumptions!$D22*12/1000000</f>
        <v>2954.5954732713326</v>
      </c>
      <c r="M24" s="117">
        <f>+M14*Assumptions!$D22*12/1000000</f>
        <v>2917.0909015203665</v>
      </c>
      <c r="N24" s="76"/>
    </row>
    <row r="25" spans="1:14" ht="12" customHeight="1">
      <c r="A25" s="74"/>
      <c r="B25" s="124" t="s">
        <v>69</v>
      </c>
      <c r="C25" s="117"/>
      <c r="D25" s="117">
        <f>+((D20-(D15*50*12))*Assumptions!D23+Demand!D15*Assumptions!D22*12)/1000000</f>
        <v>49510.9033848</v>
      </c>
      <c r="E25" s="117">
        <f>+E20*Assumptions!$D23/1000000</f>
        <v>62048.86705809921</v>
      </c>
      <c r="F25" s="117">
        <f>+F20*Assumptions!$D23/1000000</f>
        <v>71921.42537212926</v>
      </c>
      <c r="G25" s="117">
        <f>+G20*Assumptions!$D23/1000000</f>
        <v>83364.80056461514</v>
      </c>
      <c r="H25" s="117">
        <f>+H20*Assumptions!$D23/1000000</f>
        <v>96628.92437433776</v>
      </c>
      <c r="I25" s="117">
        <f>+I20*Assumptions!$D23/1000000</f>
        <v>112003.49503030798</v>
      </c>
      <c r="J25" s="117">
        <f>+J20*Assumptions!$D23/1000000</f>
        <v>129824.304474363</v>
      </c>
      <c r="K25" s="117">
        <f>+K20*Assumptions!$D23/1000000</f>
        <v>150480.57230438525</v>
      </c>
      <c r="L25" s="117">
        <f>+L20*Assumptions!$D23/1000000</f>
        <v>174423.44661686214</v>
      </c>
      <c r="M25" s="117">
        <f>+M20*Assumptions!$D23/1000000</f>
        <v>202175.85741344755</v>
      </c>
      <c r="N25" s="76"/>
    </row>
    <row r="26" spans="1:14" ht="12" customHeight="1">
      <c r="A26" s="74"/>
      <c r="B26" s="124" t="s">
        <v>70</v>
      </c>
      <c r="C26" s="85"/>
      <c r="D26" s="117">
        <f>+((D21-(D16*50*12)-(D16*300*12))*Assumptions!D16+(D16*300*12)*Assumptions!D15+(D16*50*12)*Assumptions!D22)/1000000</f>
        <v>96045.3464256</v>
      </c>
      <c r="E26" s="117">
        <f>+E21*Assumptions!$D24/1000000</f>
        <v>80107.4467841822</v>
      </c>
      <c r="F26" s="117">
        <f>+F21*Assumptions!$D24/1000000</f>
        <v>96740.448501904</v>
      </c>
      <c r="G26" s="117">
        <f>+G21*Assumptions!$D24/1000000</f>
        <v>116827.02110782398</v>
      </c>
      <c r="H26" s="117">
        <f>+H21*Assumptions!$D24/1000000</f>
        <v>141084.24213744805</v>
      </c>
      <c r="I26" s="117">
        <f>+I21*Assumptions!$D24/1000000</f>
        <v>170378.07855365268</v>
      </c>
      <c r="J26" s="117">
        <f>+J21*Assumptions!$D24/1000000</f>
        <v>205754.30120221444</v>
      </c>
      <c r="K26" s="117">
        <f>+K21*Assumptions!$D24/1000000</f>
        <v>248475.81814863696</v>
      </c>
      <c r="L26" s="117">
        <f>+L21*Assumptions!$D24/1000000</f>
        <v>300067.7596720395</v>
      </c>
      <c r="M26" s="117">
        <f>+M21*Assumptions!$D24/1000000</f>
        <v>362371.9244209711</v>
      </c>
      <c r="N26" s="76"/>
    </row>
    <row r="27" spans="1:14" ht="12" customHeight="1">
      <c r="A27" s="74"/>
      <c r="B27" s="124"/>
      <c r="C27" s="85"/>
      <c r="D27" s="117"/>
      <c r="E27" s="85"/>
      <c r="F27" s="138"/>
      <c r="G27" s="139"/>
      <c r="H27" s="139"/>
      <c r="I27" s="126"/>
      <c r="J27" s="134"/>
      <c r="K27" s="134"/>
      <c r="L27" s="134"/>
      <c r="M27" s="134"/>
      <c r="N27" s="76"/>
    </row>
    <row r="28" spans="1:14" ht="12" customHeight="1">
      <c r="A28" s="74"/>
      <c r="B28" s="95"/>
      <c r="C28" s="84"/>
      <c r="D28" s="89"/>
      <c r="E28" s="84"/>
      <c r="F28" s="96"/>
      <c r="G28" s="97"/>
      <c r="H28" s="97"/>
      <c r="I28" s="93"/>
      <c r="J28" s="94"/>
      <c r="K28" s="94"/>
      <c r="L28" s="94"/>
      <c r="M28" s="94"/>
      <c r="N28" s="76"/>
    </row>
    <row r="29" spans="1:14" ht="12" customHeight="1">
      <c r="A29" s="74"/>
      <c r="B29" s="95"/>
      <c r="C29" s="84"/>
      <c r="D29" s="89"/>
      <c r="E29" s="84"/>
      <c r="F29" s="96"/>
      <c r="G29" s="97"/>
      <c r="H29" s="97"/>
      <c r="I29" s="93"/>
      <c r="J29" s="94"/>
      <c r="K29" s="94"/>
      <c r="L29" s="94"/>
      <c r="M29" s="94"/>
      <c r="N29" s="76"/>
    </row>
    <row r="30" spans="1:14" ht="12" customHeight="1">
      <c r="A30" s="74"/>
      <c r="B30" s="95"/>
      <c r="C30" s="84"/>
      <c r="D30" s="89"/>
      <c r="E30" s="84"/>
      <c r="F30" s="96"/>
      <c r="G30" s="97"/>
      <c r="H30" s="97"/>
      <c r="I30" s="93"/>
      <c r="J30" s="94"/>
      <c r="K30" s="94"/>
      <c r="L30" s="94"/>
      <c r="M30" s="94"/>
      <c r="N30" s="76"/>
    </row>
    <row r="31" spans="1:14" ht="12" customHeight="1" thickBot="1">
      <c r="A31" s="74"/>
      <c r="C31" s="89"/>
      <c r="D31" s="89"/>
      <c r="E31" s="89"/>
      <c r="F31" s="89"/>
      <c r="G31" s="89"/>
      <c r="H31" s="89"/>
      <c r="I31" s="89"/>
      <c r="J31" s="89"/>
      <c r="K31" s="89"/>
      <c r="L31" s="89"/>
      <c r="M31" s="89"/>
      <c r="N31" s="76"/>
    </row>
    <row r="32" spans="1:14" ht="12" customHeight="1">
      <c r="A32" s="74"/>
      <c r="B32" s="98"/>
      <c r="C32" s="99"/>
      <c r="D32" s="99"/>
      <c r="E32" s="99"/>
      <c r="F32" s="99"/>
      <c r="G32" s="99"/>
      <c r="H32" s="99"/>
      <c r="I32" s="100"/>
      <c r="J32" s="100"/>
      <c r="K32" s="100"/>
      <c r="L32" s="100"/>
      <c r="M32" s="100"/>
      <c r="N32" s="76"/>
    </row>
    <row r="33" spans="1:14" ht="12" customHeight="1">
      <c r="A33" s="74"/>
      <c r="B33" s="101" t="s">
        <v>37</v>
      </c>
      <c r="C33" s="102">
        <v>2500</v>
      </c>
      <c r="D33" s="103" t="s">
        <v>38</v>
      </c>
      <c r="E33" s="102"/>
      <c r="F33" s="102"/>
      <c r="G33" s="102"/>
      <c r="H33" s="102"/>
      <c r="I33" s="77"/>
      <c r="J33" s="77"/>
      <c r="K33" s="77"/>
      <c r="L33" s="77"/>
      <c r="M33" s="77"/>
      <c r="N33" s="76"/>
    </row>
    <row r="34" spans="1:14" ht="12" customHeight="1">
      <c r="A34" s="74"/>
      <c r="B34" s="75" t="s">
        <v>39</v>
      </c>
      <c r="C34" s="104">
        <v>1</v>
      </c>
      <c r="D34" s="103" t="s">
        <v>36</v>
      </c>
      <c r="E34" s="102"/>
      <c r="F34" s="105"/>
      <c r="G34" s="105"/>
      <c r="H34" s="105"/>
      <c r="I34" s="77"/>
      <c r="J34" s="77"/>
      <c r="K34" s="77"/>
      <c r="L34" s="77"/>
      <c r="M34" s="77"/>
      <c r="N34" s="76"/>
    </row>
    <row r="35" spans="1:14" ht="11.25">
      <c r="A35" s="74"/>
      <c r="B35" s="106" t="s">
        <v>40</v>
      </c>
      <c r="C35" s="92">
        <v>9100</v>
      </c>
      <c r="D35" s="106" t="s">
        <v>42</v>
      </c>
      <c r="E35" s="77"/>
      <c r="F35" s="77"/>
      <c r="G35" s="77"/>
      <c r="H35" s="77"/>
      <c r="I35" s="77"/>
      <c r="J35" s="77"/>
      <c r="K35" s="77"/>
      <c r="L35" s="77"/>
      <c r="M35" s="77"/>
      <c r="N35" s="76"/>
    </row>
    <row r="36" spans="1:14" ht="11.25">
      <c r="A36" s="74"/>
      <c r="B36" s="90"/>
      <c r="C36" s="77"/>
      <c r="D36" s="106"/>
      <c r="E36" s="106"/>
      <c r="F36" s="77"/>
      <c r="G36" s="77"/>
      <c r="H36" s="77"/>
      <c r="I36" s="77"/>
      <c r="J36" s="77"/>
      <c r="K36" s="77"/>
      <c r="L36" s="77"/>
      <c r="M36" s="77"/>
      <c r="N36" s="76"/>
    </row>
    <row r="37" spans="1:14" ht="11.25">
      <c r="A37" s="74"/>
      <c r="B37" s="90"/>
      <c r="C37" s="77"/>
      <c r="D37" s="77"/>
      <c r="E37" s="77"/>
      <c r="F37" s="77"/>
      <c r="G37" s="77"/>
      <c r="H37" s="77"/>
      <c r="I37" s="77"/>
      <c r="J37" s="77"/>
      <c r="K37" s="77"/>
      <c r="L37" s="77"/>
      <c r="M37" s="77"/>
      <c r="N37" s="76"/>
    </row>
    <row r="38" spans="1:14" ht="12" thickBot="1">
      <c r="A38" s="107"/>
      <c r="B38" s="108"/>
      <c r="C38" s="109"/>
      <c r="D38" s="109"/>
      <c r="E38" s="109"/>
      <c r="F38" s="109"/>
      <c r="G38" s="109"/>
      <c r="H38" s="109"/>
      <c r="I38" s="109"/>
      <c r="J38" s="109"/>
      <c r="K38" s="109"/>
      <c r="L38" s="109"/>
      <c r="M38" s="109"/>
      <c r="N38" s="110"/>
    </row>
    <row r="39" ht="12" thickTop="1"/>
    <row r="43" ht="11.25">
      <c r="B43" s="81"/>
    </row>
    <row r="45" spans="2:8" ht="12.75">
      <c r="B45" s="81"/>
      <c r="C45" s="111"/>
      <c r="D45" s="82"/>
      <c r="E45" s="82"/>
      <c r="F45" s="83"/>
      <c r="G45" s="83"/>
      <c r="H45" s="83"/>
    </row>
    <row r="46" spans="2:8" ht="12.75">
      <c r="B46" s="81"/>
      <c r="C46" s="84"/>
      <c r="D46" s="85"/>
      <c r="E46" s="85"/>
      <c r="F46" s="86"/>
      <c r="G46" s="86"/>
      <c r="H46" s="87"/>
    </row>
    <row r="47" spans="2:8" ht="12.75">
      <c r="B47" s="88"/>
      <c r="C47" s="89"/>
      <c r="D47" s="89"/>
      <c r="E47" s="89"/>
      <c r="F47" s="92"/>
      <c r="G47" s="112"/>
      <c r="H47" s="112"/>
    </row>
    <row r="48" spans="2:8" ht="17.25" customHeight="1">
      <c r="B48" s="90"/>
      <c r="C48" s="89"/>
      <c r="D48" s="91"/>
      <c r="E48" s="91"/>
      <c r="F48" s="94"/>
      <c r="G48" s="93"/>
      <c r="H48" s="93"/>
    </row>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6"/>
  <dimension ref="A1:N39"/>
  <sheetViews>
    <sheetView zoomScale="90" zoomScaleNormal="90" zoomScalePageLayoutView="0" workbookViewId="0" topLeftCell="A1">
      <selection activeCell="M17" sqref="M17"/>
    </sheetView>
  </sheetViews>
  <sheetFormatPr defaultColWidth="9.00390625" defaultRowHeight="15.75"/>
  <cols>
    <col min="1" max="1" width="9.00390625" style="75" customWidth="1"/>
    <col min="2" max="2" width="36.875" style="128" customWidth="1"/>
    <col min="3" max="3" width="9.75390625" style="128" customWidth="1"/>
    <col min="4" max="13" width="10.875" style="128" customWidth="1"/>
    <col min="14" max="16384" width="9.00390625" style="128" customWidth="1"/>
  </cols>
  <sheetData>
    <row r="1" spans="1:14" s="73" customFormat="1" ht="21" customHeight="1">
      <c r="A1" s="70"/>
      <c r="B1" s="56" t="s">
        <v>129</v>
      </c>
      <c r="C1" s="71"/>
      <c r="D1" s="71"/>
      <c r="E1" s="71"/>
      <c r="F1" s="71"/>
      <c r="G1" s="71"/>
      <c r="H1" s="71"/>
      <c r="I1" s="71"/>
      <c r="J1" s="71"/>
      <c r="K1" s="71"/>
      <c r="L1" s="71"/>
      <c r="M1" s="71"/>
      <c r="N1" s="72"/>
    </row>
    <row r="2" spans="1:14" s="73" customFormat="1" ht="21" customHeight="1">
      <c r="A2" s="70"/>
      <c r="B2" s="56" t="s">
        <v>77</v>
      </c>
      <c r="C2" s="71"/>
      <c r="D2" s="71"/>
      <c r="E2" s="71"/>
      <c r="F2" s="71"/>
      <c r="G2" s="71"/>
      <c r="H2" s="71"/>
      <c r="I2" s="71"/>
      <c r="J2" s="71"/>
      <c r="K2" s="71"/>
      <c r="L2" s="71"/>
      <c r="M2" s="71"/>
      <c r="N2" s="72"/>
    </row>
    <row r="3" spans="1:14" s="75" customFormat="1" ht="12.75" customHeight="1">
      <c r="A3" s="74"/>
      <c r="B3" s="56" t="s">
        <v>131</v>
      </c>
      <c r="N3" s="76"/>
    </row>
    <row r="4" spans="1:14" s="75" customFormat="1" ht="12.75" customHeight="1">
      <c r="A4" s="74"/>
      <c r="B4" s="77"/>
      <c r="N4" s="76"/>
    </row>
    <row r="5" spans="1:14" ht="12" customHeight="1">
      <c r="A5" s="74"/>
      <c r="B5" s="120" t="s">
        <v>141</v>
      </c>
      <c r="C5" s="82"/>
      <c r="D5" s="82">
        <v>1</v>
      </c>
      <c r="E5" s="82">
        <v>2</v>
      </c>
      <c r="F5" s="82">
        <v>3</v>
      </c>
      <c r="G5" s="83">
        <v>4</v>
      </c>
      <c r="H5" s="83">
        <v>5</v>
      </c>
      <c r="I5" s="83">
        <v>6</v>
      </c>
      <c r="J5" s="83">
        <v>7</v>
      </c>
      <c r="K5" s="83">
        <v>8</v>
      </c>
      <c r="L5" s="83">
        <v>9</v>
      </c>
      <c r="M5" s="83">
        <v>10</v>
      </c>
      <c r="N5" s="140"/>
    </row>
    <row r="6" spans="1:14" ht="12" customHeight="1">
      <c r="A6" s="74"/>
      <c r="B6" s="120"/>
      <c r="C6" s="85"/>
      <c r="D6" s="85"/>
      <c r="E6" s="85"/>
      <c r="F6" s="85"/>
      <c r="G6" s="86"/>
      <c r="H6" s="87"/>
      <c r="I6" s="87"/>
      <c r="J6" s="87"/>
      <c r="K6" s="87"/>
      <c r="L6" s="87"/>
      <c r="M6" s="87"/>
      <c r="N6" s="140"/>
    </row>
    <row r="7" spans="1:14" ht="12" customHeight="1">
      <c r="A7" s="74"/>
      <c r="B7" s="88" t="s">
        <v>43</v>
      </c>
      <c r="C7" s="117"/>
      <c r="D7" s="117"/>
      <c r="E7" s="117"/>
      <c r="F7" s="117"/>
      <c r="G7" s="117"/>
      <c r="H7" s="117"/>
      <c r="I7" s="131"/>
      <c r="J7" s="131"/>
      <c r="K7" s="131"/>
      <c r="L7" s="131"/>
      <c r="M7" s="131"/>
      <c r="N7" s="140"/>
    </row>
    <row r="8" spans="1:14" ht="12" customHeight="1">
      <c r="A8" s="74"/>
      <c r="B8" s="121"/>
      <c r="C8" s="117"/>
      <c r="D8" s="122"/>
      <c r="E8" s="122"/>
      <c r="F8" s="133"/>
      <c r="G8" s="126"/>
      <c r="H8" s="126"/>
      <c r="I8" s="126"/>
      <c r="J8" s="134"/>
      <c r="K8" s="134"/>
      <c r="L8" s="134"/>
      <c r="M8" s="134"/>
      <c r="N8" s="140"/>
    </row>
    <row r="9" spans="1:14" ht="12" customHeight="1">
      <c r="A9" s="74"/>
      <c r="B9" s="121" t="s">
        <v>63</v>
      </c>
      <c r="C9" s="117"/>
      <c r="D9" s="117">
        <f>Projects!G40-Projects!F40</f>
        <v>46332</v>
      </c>
      <c r="E9" s="117">
        <f>+((Projects!$G$40/Projects!$F$40)^(1/9)*(1+Assumptions!$C$27))*D9</f>
        <v>48618.77371520623</v>
      </c>
      <c r="F9" s="117">
        <f>+((Projects!$G$40/Projects!$F$40)^(1/9)*(1+Assumptions!$C$27))*E9</f>
        <v>51018.414002642414</v>
      </c>
      <c r="G9" s="117">
        <f>+((Projects!$G$40/Projects!$F$40)^(1/9)*(1+Assumptions!$C$27))*F9</f>
        <v>53536.49153291851</v>
      </c>
      <c r="H9" s="117">
        <f>+((Projects!$G$40/Projects!$F$40)^(1/9)*(1+Assumptions!$C$27))*G9</f>
        <v>56178.85192404859</v>
      </c>
      <c r="I9" s="117">
        <f>+((Projects!$G$40/Projects!$F$40)^(1/9)*(1+Assumptions!$C$27))*H9</f>
        <v>58951.62931182329</v>
      </c>
      <c r="J9" s="117">
        <f>+((Projects!$G$40/Projects!$F$40)^(1/9)*(1+Assumptions!$C$27))*I9</f>
        <v>61861.26058996494</v>
      </c>
      <c r="K9" s="117">
        <f>+((Projects!$G$40/Projects!$F$40)^(1/9)*(1+Assumptions!$C$27))*J9</f>
        <v>64914.500353123345</v>
      </c>
      <c r="L9" s="117">
        <f>+((Projects!$G$40/Projects!$F$40)^(1/9)*(1+Assumptions!$C$27))*K9</f>
        <v>68118.43657740178</v>
      </c>
      <c r="M9" s="117">
        <f>+((Projects!$G$40/Projects!$F$40)^(1/9)*(1+Assumptions!$C$27))*L9</f>
        <v>71480.50707481492</v>
      </c>
      <c r="N9" s="140"/>
    </row>
    <row r="10" spans="1:14" ht="12" customHeight="1">
      <c r="A10" s="74"/>
      <c r="B10" s="121"/>
      <c r="C10" s="117"/>
      <c r="D10" s="117"/>
      <c r="E10" s="117"/>
      <c r="F10" s="133"/>
      <c r="G10" s="135"/>
      <c r="H10" s="135"/>
      <c r="I10" s="126"/>
      <c r="J10" s="134"/>
      <c r="K10" s="134"/>
      <c r="L10" s="134"/>
      <c r="M10" s="134"/>
      <c r="N10" s="140"/>
    </row>
    <row r="11" spans="1:14" ht="12" customHeight="1">
      <c r="A11" s="74"/>
      <c r="B11" s="121" t="s">
        <v>64</v>
      </c>
      <c r="C11" s="117"/>
      <c r="D11" s="117"/>
      <c r="E11" s="117"/>
      <c r="F11" s="117"/>
      <c r="G11" s="135"/>
      <c r="H11" s="135"/>
      <c r="I11" s="126"/>
      <c r="J11" s="134"/>
      <c r="K11" s="134"/>
      <c r="L11" s="134"/>
      <c r="M11" s="134"/>
      <c r="N11" s="140"/>
    </row>
    <row r="12" spans="1:14" ht="12" customHeight="1">
      <c r="A12" s="74"/>
      <c r="B12" s="124" t="s">
        <v>54</v>
      </c>
      <c r="C12" s="117"/>
      <c r="D12" s="117">
        <f>+D$9*Assumptions!D10</f>
        <v>20849.4</v>
      </c>
      <c r="E12" s="117">
        <f>1/($D$12/$M$12)^(1/9)*D12</f>
        <v>20584.74521888412</v>
      </c>
      <c r="F12" s="117">
        <f aca="true" t="shared" si="0" ref="F12:L12">1/($D$12/$M$12)^(1/9)*E12</f>
        <v>20323.44987032589</v>
      </c>
      <c r="G12" s="117">
        <f t="shared" si="0"/>
        <v>20065.47131089729</v>
      </c>
      <c r="H12" s="117">
        <f t="shared" si="0"/>
        <v>19810.767438470626</v>
      </c>
      <c r="I12" s="117">
        <f t="shared" si="0"/>
        <v>19559.296685347465</v>
      </c>
      <c r="J12" s="117">
        <f t="shared" si="0"/>
        <v>19311.018011474778</v>
      </c>
      <c r="K12" s="117">
        <f t="shared" si="0"/>
        <v>19065.890897747202</v>
      </c>
      <c r="L12" s="117">
        <f t="shared" si="0"/>
        <v>18823.875339394323</v>
      </c>
      <c r="M12" s="133">
        <f>+M$9*Assumptions!E10</f>
        <v>18584.931839451878</v>
      </c>
      <c r="N12" s="140"/>
    </row>
    <row r="13" spans="1:14" ht="12" customHeight="1">
      <c r="A13" s="74"/>
      <c r="B13" s="124" t="s">
        <v>55</v>
      </c>
      <c r="C13" s="117"/>
      <c r="D13" s="117">
        <f>+D$9*Assumptions!D11</f>
        <v>20849.4</v>
      </c>
      <c r="E13" s="117">
        <f>(1+($M$12/$D$12))^(1/9)*D13</f>
        <v>22379.325736149207</v>
      </c>
      <c r="F13" s="117">
        <f aca="true" t="shared" si="1" ref="F13:L13">(1+($M$12/$D$12))^(1/9)*E13</f>
        <v>24021.517185370813</v>
      </c>
      <c r="G13" s="117">
        <f t="shared" si="1"/>
        <v>25784.212388266304</v>
      </c>
      <c r="H13" s="117">
        <f t="shared" si="1"/>
        <v>27676.253891577948</v>
      </c>
      <c r="I13" s="117">
        <f t="shared" si="1"/>
        <v>29707.133106755588</v>
      </c>
      <c r="J13" s="117">
        <f t="shared" si="1"/>
        <v>31887.037923548178</v>
      </c>
      <c r="K13" s="117">
        <f t="shared" si="1"/>
        <v>34226.903817473285</v>
      </c>
      <c r="L13" s="117">
        <f t="shared" si="1"/>
        <v>36738.468707544744</v>
      </c>
      <c r="M13" s="133">
        <f>+M$9*Assumptions!E11</f>
        <v>40029.08396189636</v>
      </c>
      <c r="N13" s="140"/>
    </row>
    <row r="14" spans="1:14" ht="12" customHeight="1">
      <c r="A14" s="74"/>
      <c r="B14" s="124" t="s">
        <v>56</v>
      </c>
      <c r="C14" s="117"/>
      <c r="D14" s="117">
        <f>+D$9*Assumptions!D12</f>
        <v>4633.2</v>
      </c>
      <c r="E14" s="117">
        <f>(1+($M$13/$D$13))^(1/9)*D14</f>
        <v>5219.01872641604</v>
      </c>
      <c r="F14" s="117">
        <f aca="true" t="shared" si="2" ref="F14:L14">(1+($M$13/$D$13))^(1/9)*E14</f>
        <v>5878.907982966699</v>
      </c>
      <c r="G14" s="117">
        <f t="shared" si="2"/>
        <v>6622.233198217205</v>
      </c>
      <c r="H14" s="117">
        <f t="shared" si="2"/>
        <v>7459.5439592915445</v>
      </c>
      <c r="I14" s="117">
        <f t="shared" si="2"/>
        <v>8402.72373609303</v>
      </c>
      <c r="J14" s="117">
        <f t="shared" si="2"/>
        <v>9465.158536555746</v>
      </c>
      <c r="K14" s="117">
        <f t="shared" si="2"/>
        <v>10661.926886553805</v>
      </c>
      <c r="L14" s="117">
        <f t="shared" si="2"/>
        <v>12010.013830743976</v>
      </c>
      <c r="M14" s="133">
        <f>+M$9*Assumptions!E12</f>
        <v>12866.491273466685</v>
      </c>
      <c r="N14" s="140"/>
    </row>
    <row r="15" spans="1:14" ht="12" customHeight="1">
      <c r="A15" s="74"/>
      <c r="B15" s="121"/>
      <c r="C15" s="117"/>
      <c r="D15" s="117"/>
      <c r="E15" s="117"/>
      <c r="F15" s="133"/>
      <c r="G15" s="135"/>
      <c r="H15" s="135"/>
      <c r="I15" s="126"/>
      <c r="J15" s="134"/>
      <c r="K15" s="134"/>
      <c r="L15" s="134"/>
      <c r="M15" s="134"/>
      <c r="N15" s="140"/>
    </row>
    <row r="16" spans="1:14" ht="12" customHeight="1">
      <c r="A16" s="74"/>
      <c r="B16" s="121" t="s">
        <v>67</v>
      </c>
      <c r="C16" s="117"/>
      <c r="E16" s="117"/>
      <c r="F16" s="117"/>
      <c r="G16" s="135"/>
      <c r="H16" s="135"/>
      <c r="I16" s="126"/>
      <c r="J16" s="134"/>
      <c r="K16" s="134"/>
      <c r="L16" s="134"/>
      <c r="M16" s="134"/>
      <c r="N16" s="140"/>
    </row>
    <row r="17" spans="1:14" ht="12" customHeight="1">
      <c r="A17" s="74"/>
      <c r="B17" s="124" t="s">
        <v>54</v>
      </c>
      <c r="C17" s="117"/>
      <c r="D17" s="117">
        <f>+Assumptions!D18</f>
        <v>16000</v>
      </c>
      <c r="E17" s="117">
        <f>+($M17/$D17)^(1/9)*D17</f>
        <v>16401.658375310417</v>
      </c>
      <c r="F17" s="117">
        <f aca="true" t="shared" si="3" ref="F17:L17">+($M17/$D17)^(1/9)*E17</f>
        <v>16813.399841274397</v>
      </c>
      <c r="G17" s="117">
        <f t="shared" si="3"/>
        <v>17235.477520255066</v>
      </c>
      <c r="H17" s="117">
        <f t="shared" si="3"/>
        <v>17668.15088891037</v>
      </c>
      <c r="I17" s="117">
        <f t="shared" si="3"/>
        <v>18111.685937709062</v>
      </c>
      <c r="J17" s="117">
        <f t="shared" si="3"/>
        <v>18566.35533445111</v>
      </c>
      <c r="K17" s="117">
        <f t="shared" si="3"/>
        <v>19032.438591893082</v>
      </c>
      <c r="L17" s="117">
        <f t="shared" si="3"/>
        <v>19510.222239581526</v>
      </c>
      <c r="M17" s="133">
        <f>+Assumptions!E18</f>
        <v>20000</v>
      </c>
      <c r="N17" s="140"/>
    </row>
    <row r="18" spans="1:14" ht="12" customHeight="1">
      <c r="A18" s="74"/>
      <c r="B18" s="124" t="s">
        <v>55</v>
      </c>
      <c r="C18" s="117"/>
      <c r="D18" s="117">
        <f>+Assumptions!D19</f>
        <v>50000</v>
      </c>
      <c r="E18" s="117">
        <f>+($M18/$D18)^(1/9)*D18</f>
        <v>52304.09593216073</v>
      </c>
      <c r="F18" s="117">
        <f aca="true" t="shared" si="4" ref="E18:L19">+($M18/$D18)^(1/9)*E18</f>
        <v>54714.36902561346</v>
      </c>
      <c r="G18" s="117">
        <f t="shared" si="4"/>
        <v>57235.7121276666</v>
      </c>
      <c r="H18" s="117">
        <f t="shared" si="4"/>
        <v>59873.24355742019</v>
      </c>
      <c r="I18" s="117">
        <f t="shared" si="4"/>
        <v>62632.3174959386</v>
      </c>
      <c r="J18" s="117">
        <f t="shared" si="4"/>
        <v>65518.53485522243</v>
      </c>
      <c r="K18" s="117">
        <f t="shared" si="4"/>
        <v>68537.75464804341</v>
      </c>
      <c r="L18" s="117">
        <f t="shared" si="4"/>
        <v>71696.10588172315</v>
      </c>
      <c r="M18" s="133">
        <f>+Assumptions!E19</f>
        <v>75000</v>
      </c>
      <c r="N18" s="140"/>
    </row>
    <row r="19" spans="1:14" ht="12" customHeight="1">
      <c r="A19" s="74"/>
      <c r="B19" s="124" t="s">
        <v>56</v>
      </c>
      <c r="C19" s="117"/>
      <c r="D19" s="117">
        <f>+Assumptions!D20</f>
        <v>250000</v>
      </c>
      <c r="E19" s="117">
        <f t="shared" si="4"/>
        <v>257395.1628922574</v>
      </c>
      <c r="F19" s="117">
        <f t="shared" si="4"/>
        <v>265009.0795213269</v>
      </c>
      <c r="G19" s="117">
        <f t="shared" si="4"/>
        <v>272848.22076527646</v>
      </c>
      <c r="H19" s="117">
        <f t="shared" si="4"/>
        <v>280919.24891496374</v>
      </c>
      <c r="I19" s="117">
        <f t="shared" si="4"/>
        <v>289229.02333615074</v>
      </c>
      <c r="J19" s="117">
        <f t="shared" si="4"/>
        <v>297784.6062991081</v>
      </c>
      <c r="K19" s="117">
        <f t="shared" si="4"/>
        <v>306593.2689806627</v>
      </c>
      <c r="L19" s="117">
        <f t="shared" si="4"/>
        <v>315662.49764378945</v>
      </c>
      <c r="M19" s="133">
        <f>+Assumptions!E20</f>
        <v>325000</v>
      </c>
      <c r="N19" s="140"/>
    </row>
    <row r="20" spans="1:14" ht="12" customHeight="1">
      <c r="A20" s="74"/>
      <c r="B20" s="121"/>
      <c r="C20" s="117"/>
      <c r="D20" s="117"/>
      <c r="E20" s="136"/>
      <c r="F20" s="117"/>
      <c r="G20" s="135"/>
      <c r="H20" s="135"/>
      <c r="I20" s="126"/>
      <c r="J20" s="134"/>
      <c r="K20" s="134"/>
      <c r="L20" s="134"/>
      <c r="M20" s="134"/>
      <c r="N20" s="140"/>
    </row>
    <row r="21" spans="1:14" ht="12" customHeight="1">
      <c r="A21" s="74"/>
      <c r="B21" s="121" t="s">
        <v>68</v>
      </c>
      <c r="C21" s="117"/>
      <c r="D21" s="117"/>
      <c r="E21" s="117"/>
      <c r="F21" s="117"/>
      <c r="G21" s="137"/>
      <c r="H21" s="137"/>
      <c r="I21" s="123"/>
      <c r="J21" s="122"/>
      <c r="K21" s="122"/>
      <c r="L21" s="122"/>
      <c r="M21" s="122"/>
      <c r="N21" s="140"/>
    </row>
    <row r="22" spans="1:14" ht="12" customHeight="1">
      <c r="A22" s="74"/>
      <c r="B22" s="124" t="s">
        <v>54</v>
      </c>
      <c r="C22" s="117"/>
      <c r="D22" s="117">
        <f>+D12*D17*300/1000000</f>
        <v>100077.12</v>
      </c>
      <c r="E22" s="117">
        <f aca="true" t="shared" si="5" ref="E22:M22">+E12*E17*300/1000000</f>
        <v>101287.18764688254</v>
      </c>
      <c r="F22" s="117">
        <f t="shared" si="5"/>
        <v>102511.88664716565</v>
      </c>
      <c r="G22" s="117">
        <f t="shared" si="5"/>
        <v>103751.39391368796</v>
      </c>
      <c r="H22" s="117">
        <f t="shared" si="5"/>
        <v>105005.88849840344</v>
      </c>
      <c r="I22" s="117">
        <f t="shared" si="5"/>
        <v>106275.55161824614</v>
      </c>
      <c r="J22" s="117">
        <f t="shared" si="5"/>
        <v>107560.56668130786</v>
      </c>
      <c r="K22" s="117">
        <f t="shared" si="5"/>
        <v>108861.11931333206</v>
      </c>
      <c r="L22" s="117">
        <f t="shared" si="5"/>
        <v>110177.3973845284</v>
      </c>
      <c r="M22" s="117">
        <f t="shared" si="5"/>
        <v>111509.59103671125</v>
      </c>
      <c r="N22" s="140"/>
    </row>
    <row r="23" spans="1:14" ht="12" customHeight="1">
      <c r="A23" s="74"/>
      <c r="B23" s="124" t="s">
        <v>55</v>
      </c>
      <c r="C23" s="117"/>
      <c r="D23" s="117">
        <f>+D13*D18*300/1000000</f>
        <v>312741.00000000006</v>
      </c>
      <c r="E23" s="117">
        <f aca="true" t="shared" si="6" ref="E23:M23">+E13*E18*300/1000000</f>
        <v>351159.1200601865</v>
      </c>
      <c r="F23" s="117">
        <f t="shared" si="6"/>
        <v>394296.6467506482</v>
      </c>
      <c r="G23" s="117">
        <f t="shared" si="6"/>
        <v>442733.32730802754</v>
      </c>
      <c r="H23" s="117">
        <f t="shared" si="6"/>
        <v>497120.12700223346</v>
      </c>
      <c r="I23" s="117">
        <f t="shared" si="6"/>
        <v>558187.9777909275</v>
      </c>
      <c r="J23" s="117">
        <f t="shared" si="6"/>
        <v>626757.6016871372</v>
      </c>
      <c r="K23" s="117">
        <f t="shared" si="6"/>
        <v>703750.5408612494</v>
      </c>
      <c r="L23" s="117">
        <f t="shared" si="6"/>
        <v>790201.5427165502</v>
      </c>
      <c r="M23" s="117">
        <f t="shared" si="6"/>
        <v>900654.389142668</v>
      </c>
      <c r="N23" s="140"/>
    </row>
    <row r="24" spans="1:14" ht="12" customHeight="1">
      <c r="A24" s="74"/>
      <c r="B24" s="124" t="s">
        <v>56</v>
      </c>
      <c r="C24" s="85"/>
      <c r="D24" s="117">
        <f>+D14*D19*300/1000000</f>
        <v>347490</v>
      </c>
      <c r="E24" s="117">
        <f aca="true" t="shared" si="7" ref="E24:M24">+E14*E19*300/1000000</f>
        <v>403005.05256707955</v>
      </c>
      <c r="F24" s="117">
        <f t="shared" si="7"/>
        <v>467389.1979469756</v>
      </c>
      <c r="G24" s="117">
        <f t="shared" si="7"/>
        <v>542059.3636878933</v>
      </c>
      <c r="H24" s="117">
        <f t="shared" si="7"/>
        <v>628658.8458877007</v>
      </c>
      <c r="I24" s="117">
        <f t="shared" si="7"/>
        <v>729093.4738661037</v>
      </c>
      <c r="J24" s="117">
        <f t="shared" si="7"/>
        <v>845573.5525100686</v>
      </c>
      <c r="K24" s="117">
        <f t="shared" si="7"/>
        <v>980662.505334405</v>
      </c>
      <c r="L24" s="117">
        <f t="shared" si="7"/>
        <v>1137333.2887647296</v>
      </c>
      <c r="M24" s="117">
        <f t="shared" si="7"/>
        <v>1254482.8991630017</v>
      </c>
      <c r="N24" s="140"/>
    </row>
    <row r="25" spans="1:14" ht="12" customHeight="1">
      <c r="A25" s="74"/>
      <c r="B25" s="86" t="s">
        <v>41</v>
      </c>
      <c r="C25" s="85"/>
      <c r="D25" s="117">
        <f>SUM(D22:D24)</f>
        <v>760308.1200000001</v>
      </c>
      <c r="E25" s="117">
        <f aca="true" t="shared" si="8" ref="E25:M25">SUM(E22:E24)</f>
        <v>855451.3602741486</v>
      </c>
      <c r="F25" s="117">
        <f t="shared" si="8"/>
        <v>964197.7313447895</v>
      </c>
      <c r="G25" s="117">
        <f t="shared" si="8"/>
        <v>1088544.0849096086</v>
      </c>
      <c r="H25" s="117">
        <f t="shared" si="8"/>
        <v>1230784.8613883376</v>
      </c>
      <c r="I25" s="117">
        <f t="shared" si="8"/>
        <v>1393557.0032752773</v>
      </c>
      <c r="J25" s="117">
        <f t="shared" si="8"/>
        <v>1579891.7208785135</v>
      </c>
      <c r="K25" s="117">
        <f t="shared" si="8"/>
        <v>1793274.1655089865</v>
      </c>
      <c r="L25" s="117">
        <f t="shared" si="8"/>
        <v>2037712.2288658083</v>
      </c>
      <c r="M25" s="117">
        <f t="shared" si="8"/>
        <v>2266646.879342381</v>
      </c>
      <c r="N25" s="140"/>
    </row>
    <row r="26" spans="1:14" ht="12" customHeight="1">
      <c r="A26" s="74"/>
      <c r="B26" s="124"/>
      <c r="C26" s="85"/>
      <c r="D26" s="117"/>
      <c r="E26" s="85"/>
      <c r="F26" s="138"/>
      <c r="G26" s="139"/>
      <c r="H26" s="139"/>
      <c r="I26" s="126"/>
      <c r="J26" s="134"/>
      <c r="K26" s="134"/>
      <c r="L26" s="134"/>
      <c r="M26" s="134"/>
      <c r="N26" s="140"/>
    </row>
    <row r="27" spans="1:14" ht="12" customHeight="1" thickBot="1">
      <c r="A27" s="74"/>
      <c r="B27" s="124"/>
      <c r="C27" s="85"/>
      <c r="D27" s="117">
        <f>+D25/D9</f>
        <v>16.410000000000004</v>
      </c>
      <c r="E27" s="117">
        <f aca="true" t="shared" si="9" ref="E27:M27">+E25/E9</f>
        <v>17.595083028731217</v>
      </c>
      <c r="F27" s="117">
        <f t="shared" si="9"/>
        <v>18.899014212688982</v>
      </c>
      <c r="G27" s="117">
        <f t="shared" si="9"/>
        <v>20.33274975145289</v>
      </c>
      <c r="H27" s="117">
        <f t="shared" si="9"/>
        <v>21.90833061259967</v>
      </c>
      <c r="I27" s="117">
        <f t="shared" si="9"/>
        <v>23.638990466303984</v>
      </c>
      <c r="J27" s="117">
        <f t="shared" si="9"/>
        <v>25.53927459303669</v>
      </c>
      <c r="K27" s="117">
        <f t="shared" si="9"/>
        <v>27.625170890230898</v>
      </c>
      <c r="L27" s="117">
        <f t="shared" si="9"/>
        <v>29.914254220300432</v>
      </c>
      <c r="M27" s="117">
        <f t="shared" si="9"/>
        <v>31.71</v>
      </c>
      <c r="N27" s="140"/>
    </row>
    <row r="28" spans="1:14" ht="12" customHeight="1">
      <c r="A28" s="74"/>
      <c r="B28" s="141"/>
      <c r="C28" s="142"/>
      <c r="D28" s="142"/>
      <c r="E28" s="142"/>
      <c r="F28" s="142"/>
      <c r="G28" s="142"/>
      <c r="H28" s="142"/>
      <c r="I28" s="143"/>
      <c r="J28" s="143"/>
      <c r="K28" s="143"/>
      <c r="L28" s="143"/>
      <c r="M28" s="143"/>
      <c r="N28" s="140"/>
    </row>
    <row r="29" spans="1:14" ht="13.5" thickBot="1">
      <c r="A29" s="107"/>
      <c r="B29" s="144"/>
      <c r="C29" s="145"/>
      <c r="D29" s="145"/>
      <c r="E29" s="145"/>
      <c r="F29" s="145"/>
      <c r="G29" s="145"/>
      <c r="H29" s="145"/>
      <c r="I29" s="145"/>
      <c r="J29" s="145"/>
      <c r="K29" s="145"/>
      <c r="L29" s="145"/>
      <c r="M29" s="145"/>
      <c r="N29" s="146"/>
    </row>
    <row r="30" ht="13.5" thickTop="1"/>
    <row r="34" ht="12.75">
      <c r="B34" s="120"/>
    </row>
    <row r="36" spans="2:8" ht="12.75">
      <c r="B36" s="120"/>
      <c r="C36" s="132"/>
      <c r="D36" s="82"/>
      <c r="E36" s="82"/>
      <c r="F36" s="83"/>
      <c r="G36" s="83"/>
      <c r="H36" s="83"/>
    </row>
    <row r="37" spans="2:8" ht="12.75">
      <c r="B37" s="120"/>
      <c r="C37" s="85"/>
      <c r="D37" s="85"/>
      <c r="E37" s="85"/>
      <c r="F37" s="86"/>
      <c r="G37" s="86"/>
      <c r="H37" s="87"/>
    </row>
    <row r="38" spans="2:8" ht="12.75">
      <c r="B38" s="88"/>
      <c r="C38" s="117"/>
      <c r="D38" s="117"/>
      <c r="E38" s="117"/>
      <c r="F38" s="133"/>
      <c r="G38" s="147"/>
      <c r="H38" s="147"/>
    </row>
    <row r="39" spans="2:8" ht="17.25" customHeight="1">
      <c r="B39" s="121"/>
      <c r="C39" s="117"/>
      <c r="D39" s="122"/>
      <c r="E39" s="122"/>
      <c r="F39" s="134"/>
      <c r="G39" s="126"/>
      <c r="H39" s="126"/>
    </row>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ENEL KESH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Ghana I: Community Services: Electrification Activity</dc:title>
  <dc:subject/>
  <dc:creator>Millennium Challenge Corporation</dc:creator>
  <cp:keywords/>
  <dc:description/>
  <cp:lastModifiedBy>Block, Marissa L (DPE/EE-EA/PSC)</cp:lastModifiedBy>
  <cp:lastPrinted>2006-04-20T03:36:45Z</cp:lastPrinted>
  <dcterms:created xsi:type="dcterms:W3CDTF">2002-02-09T09:56:47Z</dcterms:created>
  <dcterms:modified xsi:type="dcterms:W3CDTF">2015-05-14T17:19:31Z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