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5480" windowHeight="10890" activeTab="0"/>
  </bookViews>
  <sheets>
    <sheet name="User's Guide" sheetId="1" r:id="rId1"/>
    <sheet name="Activity Description" sheetId="2" r:id="rId2"/>
    <sheet name="CB_DATA_" sheetId="3" state="veryHidden" r:id="rId3"/>
    <sheet name="ERR &amp; Sensitivity Analysis" sheetId="4" r:id="rId4"/>
    <sheet name="Subactivities" sheetId="5" r:id="rId5"/>
    <sheet name="ERR" sheetId="6" r:id="rId6"/>
  </sheets>
  <externalReferences>
    <externalReference r:id="rId9"/>
    <externalReference r:id="rId10"/>
  </externalReferences>
  <definedNames>
    <definedName name="CB_1639ef64ea1848eaa5da8f6d049a3d40" localSheetId="3" hidden="1">'ERR &amp; Sensitivity Analysis'!$E$25</definedName>
    <definedName name="CB_33969bc8bdb24a96909707e583dd65c1" localSheetId="3" hidden="1">'ERR &amp; Sensitivity Analysis'!$E$16</definedName>
    <definedName name="CB_36f83c60bfeb48f7b77cb3cef5beda9e" localSheetId="3" hidden="1">'ERR &amp; Sensitivity Analysis'!$E$15</definedName>
    <definedName name="CB_635a805f8c79415eb3e55361d836a035" localSheetId="3" hidden="1">'ERR &amp; Sensitivity Analysis'!$E$18</definedName>
    <definedName name="CB_67e835c70a804330856a62a704aeb72a" localSheetId="3" hidden="1">'ERR &amp; Sensitivity Analysis'!$E$19</definedName>
    <definedName name="CB_89047038b570490385dc56718a2796bf" localSheetId="3" hidden="1">'ERR &amp; Sensitivity Analysis'!$E$14</definedName>
    <definedName name="CB_c424d10b942f4a49a8a993553353bb10" localSheetId="3" hidden="1">'ERR &amp; Sensitivity Analysis'!$E$20</definedName>
    <definedName name="CB_ef6e0edc61fc418cbeb8fde5a0b27d33" localSheetId="3" hidden="1">'ERR &amp; Sensitivity Analysis'!$E$21</definedName>
    <definedName name="CB_f6062d2bd0ca4dc0ba02642a0a30c2e4" localSheetId="3" hidden="1">'ERR &amp; Sensitivity Analysis'!$E$17</definedName>
    <definedName name="CBWorkbookPriority" hidden="1">-1845719022</definedName>
    <definedName name="CBx_4b2ca44e60d44285a9bd75dbbe5d2166" localSheetId="2" hidden="1">"'CB_DATA_'!$A$1"</definedName>
    <definedName name="CBx_7549df9a7aed4b2e9c1a0629503c386d" localSheetId="2" hidden="1">"'ERR &amp; Sensitivity Analysis'!$A$1"</definedName>
    <definedName name="CBx_Sheet_Guid" localSheetId="2" hidden="1">"'4b2ca44e-60d4-4285-a9bd-75dbbe5d2166"</definedName>
    <definedName name="CBx_Sheet_Guid" localSheetId="3" hidden="1">"'7549df9a-7aed-4b2e-9c1a-0629503c386d"</definedName>
    <definedName name="Cost">'[1]Cost Assumptions'!$C$22:$E$22</definedName>
    <definedName name="Cost1">'[2]Cost Assumptions'!$C$22:$E$22</definedName>
    <definedName name="PhaseIn">#REF!</definedName>
    <definedName name="_xlnm.Print_Area" localSheetId="5">'ERR'!$A$1:$Z$125</definedName>
    <definedName name="_xlnm.Print_Area" localSheetId="4">'Subactivities'!$A$1:$O$98</definedName>
  </definedNames>
  <calcPr fullCalcOnLoad="1"/>
</workbook>
</file>

<file path=xl/comments5.xml><?xml version="1.0" encoding="utf-8"?>
<comments xmlns="http://schemas.openxmlformats.org/spreadsheetml/2006/main">
  <authors>
    <author>Steve Anderson</author>
  </authors>
  <commentList>
    <comment ref="A83" authorId="0">
      <text>
        <r>
          <rPr>
            <sz val="8"/>
            <rFont val="Tahoma"/>
            <family val="2"/>
          </rPr>
          <t>This method not used here.</t>
        </r>
      </text>
    </comment>
    <comment ref="A84" authorId="0">
      <text>
        <r>
          <rPr>
            <sz val="8"/>
            <rFont val="Tahoma"/>
            <family val="2"/>
          </rPr>
          <t>This method not used here.</t>
        </r>
      </text>
    </comment>
    <comment ref="L1" authorId="0">
      <text>
        <r>
          <rPr>
            <b/>
            <sz val="8"/>
            <rFont val="Tahoma"/>
            <family val="2"/>
          </rPr>
          <t>MCC:</t>
        </r>
        <r>
          <rPr>
            <sz val="8"/>
            <rFont val="Tahoma"/>
            <family val="2"/>
          </rPr>
          <t xml:space="preserve">
Adjusting for double-counting among subactivities.</t>
        </r>
      </text>
    </comment>
  </commentList>
</comments>
</file>

<file path=xl/comments6.xml><?xml version="1.0" encoding="utf-8"?>
<comments xmlns="http://schemas.openxmlformats.org/spreadsheetml/2006/main">
  <authors>
    <author>Steve Anderson</author>
  </authors>
  <commentList>
    <comment ref="Q23" authorId="0">
      <text>
        <r>
          <rPr>
            <sz val="8"/>
            <rFont val="Tahoma"/>
            <family val="2"/>
          </rPr>
          <t>Includes agribusiness, service providers, and VAEs</t>
        </r>
      </text>
    </comment>
    <comment ref="S23" authorId="0">
      <text>
        <r>
          <rPr>
            <sz val="8"/>
            <rFont val="Tahoma"/>
            <family val="2"/>
          </rPr>
          <t>As this is defined as "Annual increase in Net Revenue," shouldn't this be "0"?</t>
        </r>
      </text>
    </comment>
  </commentList>
</comments>
</file>

<file path=xl/sharedStrings.xml><?xml version="1.0" encoding="utf-8"?>
<sst xmlns="http://schemas.openxmlformats.org/spreadsheetml/2006/main" count="333" uniqueCount="254">
  <si>
    <t>Year One</t>
  </si>
  <si>
    <t>Year Two</t>
  </si>
  <si>
    <t>Year Three</t>
  </si>
  <si>
    <t>Year Four</t>
  </si>
  <si>
    <t>Year Five</t>
  </si>
  <si>
    <t xml:space="preserve">  Service Providers</t>
  </si>
  <si>
    <t xml:space="preserve">  Primary Production </t>
  </si>
  <si>
    <t>Primary Production Return</t>
  </si>
  <si>
    <t>Service Provider Return</t>
  </si>
  <si>
    <t>Primary Production units/$5,000</t>
  </si>
  <si>
    <t>Service Provider Units/$10,000</t>
  </si>
  <si>
    <t>TOTALS</t>
  </si>
  <si>
    <t>1 unit = 10 % increase in net revenue*</t>
  </si>
  <si>
    <t>*base salary = $250</t>
  </si>
  <si>
    <t>* base line indirect HH net revenue= $250</t>
  </si>
  <si>
    <t>* base line of HH net revenue = $250</t>
  </si>
  <si>
    <t>1 unit = Service Provider (SP)</t>
  </si>
  <si>
    <t>1unit = 10 Household (HH) Beneficiaries</t>
  </si>
  <si>
    <t>1unit = 25% Increase in HH Net Revenue*</t>
  </si>
  <si>
    <t xml:space="preserve">1 unit = 1 Job created </t>
  </si>
  <si>
    <t>1 unit = 25% increase of HH net revenue*</t>
  </si>
  <si>
    <t>1 unit = 100 indirect HH beneficiaries</t>
  </si>
  <si>
    <t>*base line of HH net revenue = $250</t>
  </si>
  <si>
    <t>1 unit = 55% Increase in Net Revenue*</t>
  </si>
  <si>
    <t>1 unit = 5 jobs ($250/yr)</t>
  </si>
  <si>
    <t>Value-Adding Units/$15,000</t>
  </si>
  <si>
    <t xml:space="preserve">  Value-Adding</t>
  </si>
  <si>
    <t>Value-Adding Return</t>
  </si>
  <si>
    <t>1 unit = 1 Value-Adding Enterprise(VAE)</t>
  </si>
  <si>
    <t>1 unit = 75% Increase in VAE Net Revenue*</t>
  </si>
  <si>
    <t>1 unit = 10 jobs (250/yr)</t>
  </si>
  <si>
    <t>1 unit = 1 agribusinesses (AB)</t>
  </si>
  <si>
    <t>1 unit = 20 jobs ($250/yr)</t>
  </si>
  <si>
    <t>*base line net revenue = $250</t>
  </si>
  <si>
    <t xml:space="preserve">1 unit = 50 indirect HH Beneficiaries </t>
  </si>
  <si>
    <t>*base line AB net revenue = $24,000/yr</t>
  </si>
  <si>
    <t>1 unit = 25% increase in HH net revenue*</t>
  </si>
  <si>
    <t>1 unit = 35% increase in AB net revenue*</t>
  </si>
  <si>
    <t>1 unit = 1000 indirect HH beneficiaries</t>
  </si>
  <si>
    <t>1 unit = $70,000</t>
  </si>
  <si>
    <t>I unit = 250,000 HH beneficiaries</t>
  </si>
  <si>
    <t xml:space="preserve">*base line of SP net revenue = $2,000 </t>
  </si>
  <si>
    <t>*base line net revenue = $4,000</t>
  </si>
  <si>
    <t>Year</t>
  </si>
  <si>
    <t>TOTAL COSTS</t>
  </si>
  <si>
    <t>25% Increase in HH Net Revenue</t>
  </si>
  <si>
    <t>Assumptions:</t>
  </si>
  <si>
    <t>GEL/mo.</t>
  </si>
  <si>
    <t>Exchange rate</t>
  </si>
  <si>
    <t>GEL/$</t>
  </si>
  <si>
    <t>$/yr.</t>
  </si>
  <si>
    <t>Average farming wage for 2003 (unemployment adjusted)</t>
  </si>
  <si>
    <t>25% increase of HH net revenue</t>
  </si>
  <si>
    <t>75% Increase in VAE Net Revenue</t>
  </si>
  <si>
    <t>35% increase in AB net revenue</t>
  </si>
  <si>
    <t>25% increase in HH net revenue</t>
  </si>
  <si>
    <t>10 % increase in net revenue</t>
  </si>
  <si>
    <t>Incremental wages</t>
  </si>
  <si>
    <t>Wages in jobs created:</t>
  </si>
  <si>
    <t>Primary prod'n</t>
  </si>
  <si>
    <t>Service provider</t>
  </si>
  <si>
    <t>Value added</t>
  </si>
  <si>
    <t>Benchmark wage</t>
  </si>
  <si>
    <t>NET BENEFIT FLOW</t>
  </si>
  <si>
    <t>Counterfactual based on data</t>
  </si>
  <si>
    <t>Jobs created</t>
  </si>
  <si>
    <t>Enterprise/service provider beneficiaries</t>
  </si>
  <si>
    <t>ERRs, by year:</t>
  </si>
  <si>
    <t>Enterprise Initiative (EI) Return</t>
  </si>
  <si>
    <t>Total Fully-loaded EI Costs</t>
  </si>
  <si>
    <t>Ref: Total ADA  Total Costs</t>
  </si>
  <si>
    <t>Ref: Total EI Direct Activity Costs</t>
  </si>
  <si>
    <t>Ref: Total ADA Direct Management Costs</t>
  </si>
  <si>
    <t>Value-Chain Initiative (VCI) Return</t>
  </si>
  <si>
    <t>Ref:  Total VCI Direct Activity Costs</t>
  </si>
  <si>
    <t>EI Catergories:</t>
  </si>
  <si>
    <t>% of EI/Total Costs</t>
  </si>
  <si>
    <t>% of VCI/Total Costs</t>
  </si>
  <si>
    <t>Total Fully-loaded VCI Costs</t>
  </si>
  <si>
    <t>VCI Unit/$250,000</t>
  </si>
  <si>
    <t>Value-Chain Initiative Returns</t>
  </si>
  <si>
    <t xml:space="preserve">Ref:  Total ADA Indirect Cost </t>
  </si>
  <si>
    <t>Rural Outreach Initiative (ROI)</t>
  </si>
  <si>
    <t>Ref:  Total ROI Direct Costs</t>
  </si>
  <si>
    <t>% of ROI/Total costs</t>
  </si>
  <si>
    <t>Total Direct Cost of ROI</t>
  </si>
  <si>
    <t>Indirect Costs Allocated to ROI</t>
  </si>
  <si>
    <t>Total Fully-loaded Costs of ROI</t>
  </si>
  <si>
    <t>Rural Outreach Initiative Returns</t>
  </si>
  <si>
    <t>Enterprise Initiative</t>
  </si>
  <si>
    <t>Value-Chain Initiative</t>
  </si>
  <si>
    <t>Value-Chain Returns</t>
  </si>
  <si>
    <t>Rural Outreach Initiative</t>
  </si>
  <si>
    <t>Rural Outreach Returns</t>
  </si>
  <si>
    <t xml:space="preserve">Value-Chain </t>
  </si>
  <si>
    <t>Phase-in of benefits (by intervention year):</t>
  </si>
  <si>
    <t>Successful adoption of innovations (by project year):</t>
  </si>
  <si>
    <t>Allowance for attrition of benefits (by project year):</t>
  </si>
  <si>
    <t>Project/intervention year:</t>
  </si>
  <si>
    <t>Adjustments to returns</t>
  </si>
  <si>
    <t>cumulative computations above.</t>
  </si>
  <si>
    <t>Households</t>
  </si>
  <si>
    <t># HH in rural areas (SDS 2002)</t>
  </si>
  <si>
    <t>Saturation level for outreach</t>
  </si>
  <si>
    <t>(Capped)</t>
  </si>
  <si>
    <t>Adjusted and Cumulated</t>
  </si>
  <si>
    <t>Percentage of total accessible HH reached</t>
  </si>
  <si>
    <t>Incremental percentages</t>
  </si>
  <si>
    <t>% of above HH "accessible" for Outreach</t>
  </si>
  <si>
    <t>Service providers</t>
  </si>
  <si>
    <t>Assumed parameters</t>
  </si>
  <si>
    <t>Primary producers (HH beneficiaries)</t>
  </si>
  <si>
    <t>Service providers' indirect HH beneficiaries</t>
  </si>
  <si>
    <t>Value-added enterprises</t>
  </si>
  <si>
    <t>Value-added enterprises' indirect HH beneficiaries</t>
  </si>
  <si>
    <t>Value chain agribusinesses</t>
  </si>
  <si>
    <t>Value chain agribusinesses' indirect HH beneficiaries</t>
  </si>
  <si>
    <t>Cost matching from Service Providers</t>
  </si>
  <si>
    <t>Cost matching from HH for Primar. Prod'n Grants</t>
  </si>
  <si>
    <t>Cost matching from Value-Adding Enterprises</t>
  </si>
  <si>
    <t xml:space="preserve">Cost matching frac. </t>
  </si>
  <si>
    <t>(100%=1:1 match)</t>
  </si>
  <si>
    <t>Cost to match</t>
  </si>
  <si>
    <t>Total cost matching</t>
  </si>
  <si>
    <t>MCC Costs</t>
  </si>
  <si>
    <t>"Second-generation" adopters as a fraction of previous year's adopters.</t>
  </si>
  <si>
    <t>Cost Matching From Grant Recipients &amp; Agribusinesses</t>
  </si>
  <si>
    <t>Cost matching from agribusinesses</t>
  </si>
  <si>
    <t>(need to change manually!)</t>
  </si>
  <si>
    <t>Annual growth:</t>
  </si>
  <si>
    <t>Annual growth trends, second and later years post-intervention</t>
  </si>
  <si>
    <t>Grand Totals - Beneficiaries &amp; jobs created:</t>
  </si>
  <si>
    <t>Household beneficiaries (Outreach only)</t>
  </si>
  <si>
    <t>Household beneficiaries (Outreach + &gt;=1 other subactivity)</t>
  </si>
  <si>
    <t>Household beneficiaries (Total)</t>
  </si>
  <si>
    <t>Increases in household net income (Outreach + &gt;=1 other subactivity)</t>
  </si>
  <si>
    <t>Increases in household net income (Outreach only)</t>
  </si>
  <si>
    <t>Increases in household net income (Total)</t>
  </si>
  <si>
    <t>Totals by subactivity</t>
  </si>
  <si>
    <t>Undiscounted</t>
  </si>
  <si>
    <t>55% Increase in SP Net Revenue</t>
  </si>
  <si>
    <t>(Discounted at</t>
  </si>
  <si>
    <t>Discounted at</t>
  </si>
  <si>
    <t>(Undiscounted)</t>
  </si>
  <si>
    <t>Increases in incremental wages</t>
  </si>
  <si>
    <t>Grand Totals - Increases in net incomes, incremental wages, and net revenues:</t>
  </si>
  <si>
    <t>Increases in enterprise/service provider net revenues</t>
  </si>
  <si>
    <t>Overall increase in net incomes, incremental wages, and net revenues</t>
  </si>
  <si>
    <t>Annex III Indicators &amp; Targets</t>
  </si>
  <si>
    <t>Indicator</t>
  </si>
  <si>
    <t>Unit</t>
  </si>
  <si>
    <t>Baseline</t>
  </si>
  <si>
    <t>One</t>
  </si>
  <si>
    <t>Two</t>
  </si>
  <si>
    <t>Three</t>
  </si>
  <si>
    <t>Four</t>
  </si>
  <si>
    <t>Five</t>
  </si>
  <si>
    <t>Net incremental rev.</t>
  </si>
  <si>
    <t>No. of beneficiaries:</t>
  </si>
  <si>
    <t>Outreach only</t>
  </si>
  <si>
    <t>Outreach + other</t>
  </si>
  <si>
    <t>number</t>
  </si>
  <si>
    <t>Total</t>
  </si>
  <si>
    <t>People</t>
  </si>
  <si>
    <t>Household size (2002 national average)</t>
  </si>
  <si>
    <t>NB: Revenue and income benefit streams continue beyond Year Five, as noted in the Table at left.</t>
  </si>
  <si>
    <t>dollars</t>
  </si>
  <si>
    <t>Direct HH income:</t>
  </si>
  <si>
    <t>USE</t>
  </si>
  <si>
    <t xml:space="preserve">Table used for </t>
  </si>
  <si>
    <t>for individual household incomes</t>
  </si>
  <si>
    <t>for enterprise revenues</t>
  </si>
  <si>
    <t>Costs</t>
  </si>
  <si>
    <t>Benefits</t>
  </si>
  <si>
    <t>ERR and sensitivity analysis</t>
  </si>
  <si>
    <t>Description of key parameters</t>
  </si>
  <si>
    <t>Parameter values</t>
  </si>
  <si>
    <t>Values used in ERR computation</t>
  </si>
  <si>
    <t>Economic rate of return (ERR):</t>
  </si>
  <si>
    <t>Georgia: Agribusiness Development</t>
  </si>
  <si>
    <t>Average farming wage for 2003 (unemployment adjusted), GEL/mo.</t>
  </si>
  <si>
    <t>Exchange rate, GEL/$</t>
  </si>
  <si>
    <t>"Second generation" adopters as percent of previous year's adopters:</t>
  </si>
  <si>
    <r>
      <t xml:space="preserve">Year (NB: Figures are </t>
    </r>
    <r>
      <rPr>
        <i/>
        <sz val="10"/>
        <rFont val="Arial"/>
        <family val="2"/>
      </rPr>
      <t xml:space="preserve">cumulative; </t>
    </r>
    <r>
      <rPr>
        <sz val="10"/>
        <rFont val="Arial"/>
        <family val="0"/>
      </rPr>
      <t xml:space="preserve">monetary amounts are in </t>
    </r>
    <r>
      <rPr>
        <i/>
        <sz val="10"/>
        <rFont val="Arial"/>
        <family val="2"/>
      </rPr>
      <t>nominal</t>
    </r>
    <r>
      <rPr>
        <sz val="10"/>
        <rFont val="Arial"/>
        <family val="0"/>
      </rPr>
      <t xml:space="preserve"> dollars)</t>
    </r>
  </si>
  <si>
    <t>Last updated:  7/7/2005</t>
  </si>
  <si>
    <t>Spreadsheet version</t>
  </si>
  <si>
    <t>Date</t>
  </si>
  <si>
    <t>Amount of MCC funds</t>
  </si>
  <si>
    <t>Project description</t>
  </si>
  <si>
    <t>Benefit streams included in ERR</t>
  </si>
  <si>
    <t>Costs included in ERR (other than costs borne by MCC)</t>
  </si>
  <si>
    <t>Estimated ERR and time horizon</t>
  </si>
  <si>
    <t>ERR &amp; Sensitivity Analysis</t>
  </si>
  <si>
    <t>A brief summary of the project's key parameters and ERR calculations.</t>
  </si>
  <si>
    <t>Activity Description</t>
  </si>
  <si>
    <t>One should read this sheet first, as it offers a summary of the activity, a list of components, and states the economic rationale for the project.</t>
  </si>
  <si>
    <t>Agribusiness Development Activity</t>
  </si>
  <si>
    <t>$15.0 million</t>
  </si>
  <si>
    <t>12% over 10 years</t>
  </si>
  <si>
    <t>Value-added enterprises’ net revenues and incremental wages</t>
  </si>
  <si>
    <t>Value chain agribusinesses’ net revenues and incremental wages</t>
  </si>
  <si>
    <t>Increase in farmers’ agricultural incomes due to improved outreach</t>
  </si>
  <si>
    <t>Increased production and O&amp;M costs are implicit in net agricultural incomes and net revenues</t>
  </si>
  <si>
    <t>Subactivities</t>
  </si>
  <si>
    <t>ERR</t>
  </si>
  <si>
    <t>Parameter 
Type</t>
  </si>
  <si>
    <t>MCC Estimate</t>
  </si>
  <si>
    <t>Plausible Range</t>
  </si>
  <si>
    <t>User Input</t>
  </si>
  <si>
    <t>Summary</t>
  </si>
  <si>
    <t>Specific</t>
  </si>
  <si>
    <t>Actual costs as a percentage of estimated costs</t>
  </si>
  <si>
    <t>80 - 120%</t>
  </si>
  <si>
    <t>Actual benefits as a percentage of estimated benefits</t>
  </si>
  <si>
    <t>All summary parameters set to initial values?</t>
  </si>
  <si>
    <t xml:space="preserve">   More Info</t>
  </si>
  <si>
    <r>
      <t xml:space="preserve">   </t>
    </r>
    <r>
      <rPr>
        <u val="single"/>
        <sz val="10"/>
        <color indexed="12"/>
        <rFont val="Arial"/>
        <family val="2"/>
      </rPr>
      <t>Activity Description</t>
    </r>
  </si>
  <si>
    <r>
      <t xml:space="preserve">   </t>
    </r>
    <r>
      <rPr>
        <u val="single"/>
        <sz val="10"/>
        <color indexed="12"/>
        <rFont val="Arial"/>
        <family val="2"/>
      </rPr>
      <t>User's Guide</t>
    </r>
  </si>
  <si>
    <t>Indirect household beneficiaries</t>
  </si>
  <si>
    <r>
      <t>Change the "</t>
    </r>
    <r>
      <rPr>
        <sz val="10"/>
        <color indexed="12"/>
        <rFont val="Arial"/>
        <family val="2"/>
      </rPr>
      <t>User Input</t>
    </r>
    <r>
      <rPr>
        <sz val="10"/>
        <rFont val="Arial"/>
        <family val="0"/>
      </rPr>
      <t>" cells in the table below to see the effect on the compact's Economic Rate of Return (ERR) and net benefits (see chart below).  To reset all values to the default MCC estimates, click the "</t>
    </r>
    <r>
      <rPr>
        <sz val="10"/>
        <color indexed="12"/>
        <rFont val="Arial"/>
        <family val="2"/>
      </rPr>
      <t>Reset Parameters</t>
    </r>
    <r>
      <rPr>
        <sz val="10"/>
        <rFont val="Arial"/>
        <family val="0"/>
      </rPr>
      <t>" button at right.  Be sure to reset all summary parameters to their original values ("MCC Estimate" values) before changing specific parameters.</t>
    </r>
  </si>
  <si>
    <t>Primary producers (direct beneficiaries)</t>
  </si>
  <si>
    <t>1.50 - 2.25</t>
  </si>
  <si>
    <r>
      <t xml:space="preserve">MCC Estimated ERR </t>
    </r>
    <r>
      <rPr>
        <b/>
        <sz val="8"/>
        <rFont val="Arial"/>
        <family val="2"/>
      </rPr>
      <t>(as of 7/7/2005)</t>
    </r>
    <r>
      <rPr>
        <b/>
        <sz val="10"/>
        <rFont val="Arial"/>
        <family val="2"/>
      </rPr>
      <t>:</t>
    </r>
  </si>
  <si>
    <t>25 - 85</t>
  </si>
  <si>
    <t>100 - 400</t>
  </si>
  <si>
    <t>40 - 80%</t>
  </si>
  <si>
    <t>0 - 10%</t>
  </si>
  <si>
    <t>Annual growth trends, second and later years post-intervention for individual household incomes</t>
  </si>
  <si>
    <t>Annual growth trends, second and later years post-intervention for enterprise revenues</t>
  </si>
  <si>
    <t>0 - 20%</t>
  </si>
  <si>
    <t>Cost Scenario:</t>
  </si>
  <si>
    <t>TOTAL BENEFITS</t>
  </si>
  <si>
    <t>Benefit Scenario:</t>
  </si>
  <si>
    <t>Calculates the benefits of each potential subactivity in terms of value-added and increased income.</t>
  </si>
  <si>
    <t>This sheet sums all of the costs and benefits of each component of the activity and computes the resulting ERR over a ten-year time period.</t>
  </si>
  <si>
    <t>Components</t>
  </si>
  <si>
    <t>Economic Rationale</t>
  </si>
  <si>
    <t xml:space="preserve">           a.   Inform rural households and stakeholders about the objectives of ADA and guidelines for targeted technical 
                 assistance and grants.</t>
  </si>
  <si>
    <t xml:space="preserve">           b.   Broadcast information about innovations, best practices in agricultural production and agribusiness, success stories 
                 of “model” farmers and agribusiness entrepreneurs.</t>
  </si>
  <si>
    <t xml:space="preserve">           c.   Report regular farm gate prices and volumes of commodities sold from key marketing hubs throughout the country.</t>
  </si>
  <si>
    <r>
      <t xml:space="preserve">     2.   </t>
    </r>
    <r>
      <rPr>
        <i/>
        <sz val="10"/>
        <rFont val="Arial"/>
        <family val="2"/>
      </rPr>
      <t>Grants to Rural Entrepreneurs</t>
    </r>
    <r>
      <rPr>
        <sz val="10"/>
        <rFont val="Arial"/>
        <family val="0"/>
      </rPr>
      <t>.  Supports small groups of farmers and private enterprises in applying innovative business 
           solutions and technologies to agribusiness. The sub-activity awards grant funding for equipment, supplies and other 
           support on the basis of applications supported by sound business plans.</t>
    </r>
  </si>
  <si>
    <r>
      <t xml:space="preserve">     3.   </t>
    </r>
    <r>
      <rPr>
        <i/>
        <sz val="10"/>
        <rFont val="Arial"/>
        <family val="2"/>
      </rPr>
      <t>Market Information</t>
    </r>
    <r>
      <rPr>
        <sz val="10"/>
        <rFont val="Arial"/>
        <family val="0"/>
      </rPr>
      <t>.  Supports farmers by broadly disseminating important agricultural and agribusiness information 
           throughout the regions. The sub-activity will utilize existing communications channels to do the following:</t>
    </r>
  </si>
  <si>
    <t xml:space="preserve">     The ADA includes three separate Sub-Activities intended to support the development of Georgia’s agriculture and agribusiness sectors:</t>
  </si>
  <si>
    <t xml:space="preserve">     1.   Mitigate problems of incomplete information, credit constraints, and risk perceptions and management, leading in turn to 
           increased productivity, profitablility, and incomes.</t>
  </si>
  <si>
    <t xml:space="preserve">     2.   Facilitate and increase meaningful coordination among stakeholders in key agricultural value chains, permitting them to 
           take advantage of larger, more integrated vertical economies.</t>
  </si>
  <si>
    <t xml:space="preserve">     The objective of the Agribusiness Development Activity (ADA) is to improve the economic performance of agribusinesses.  The Activity will accelerate the transformation of subsistence production into market-driven agriculture by providing technical assistance and grants to farmers and agribusinesses in critical value chains that supply agricultural products to the domestic market, as well as disseminating information on regional market prices and volumes. </t>
  </si>
  <si>
    <r>
      <t xml:space="preserve">     1.   </t>
    </r>
    <r>
      <rPr>
        <i/>
        <sz val="10"/>
        <rFont val="Arial"/>
        <family val="2"/>
      </rPr>
      <t>Access to Modern Technology</t>
    </r>
    <r>
      <rPr>
        <sz val="10"/>
        <rFont val="Arial"/>
        <family val="0"/>
      </rPr>
      <t>.  Provides modern technology to entrepreneurs and enterprises that, through a 
           competitive bidding process, identify and address critical constraints in the agricultural production and processing. 
           Assistance provided includes access to long-term and short-term consultant advisors, formal and 
           informal training, and grant funding and other means of capital mobilization proposed by bidders.</t>
    </r>
  </si>
  <si>
    <t xml:space="preserve">     The ADA is expected to contribute to poverty alleviation by accelerating agriculture sector transformation from subsistence production to profitable farms and rural enterprises directly participating in commercial value-chains.  The Activity’s efforts to identify, introduce, and anchor appropriate innovations in primary agriculture and agribusiness is expected to:</t>
  </si>
  <si>
    <r>
      <t xml:space="preserve">The objective of the Agribusiness Development Activity (ADA) is to improve the economic performance of agribusinesses.  The Activity will accelerate the transformation of subsistence production into market-driven agriculture by providing </t>
    </r>
    <r>
      <rPr>
        <sz val="10"/>
        <color indexed="8"/>
        <rFont val="Arial"/>
        <family val="2"/>
      </rPr>
      <t xml:space="preserve">technical assistance and grants to farmers and agribusinesses in critical value chains that supply agricultural products to the domestic market, as well as disseminating </t>
    </r>
    <r>
      <rPr>
        <sz val="10"/>
        <rFont val="Arial"/>
        <family val="2"/>
      </rPr>
      <t xml:space="preserve">information on regional market prices and volumes. </t>
    </r>
  </si>
  <si>
    <t>Increase in farmers’ net agricultural incomes and laborers' wages</t>
  </si>
  <si>
    <t>Increase in service providers’ net revenues and wages</t>
  </si>
  <si>
    <t>Georgia: Enterprise Development</t>
  </si>
  <si>
    <t>Table of Contents</t>
  </si>
  <si>
    <r>
      <t xml:space="preserve">Original ERR* </t>
    </r>
    <r>
      <rPr>
        <b/>
        <sz val="10"/>
        <color indexed="62"/>
        <rFont val="Arial"/>
        <family val="2"/>
      </rPr>
      <t xml:space="preserve"> (No Closeout ERR planned)</t>
    </r>
  </si>
</sst>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0.0000000"/>
    <numFmt numFmtId="168" formatCode="0.000000"/>
    <numFmt numFmtId="169" formatCode="0.00000"/>
    <numFmt numFmtId="170" formatCode="_(&quot;$&quot;* #,##0.0000_);_(&quot;$&quot;* \(#,##0.0000\);_(&quot;$&quot;* &quot;-&quot;????_);_(@_)"/>
    <numFmt numFmtId="171" formatCode="_(&quot;$&quot;* #,##0.000_);_(&quot;$&quot;* \(#,##0.000\);_(&quot;$&quot;* &quot;-&quot;??_);_(@_)"/>
    <numFmt numFmtId="172" formatCode="_(&quot;$&quot;* #,##0.0_);_(&quot;$&quot;* \(#,##0.0\);_(&quot;$&quot;* &quot;-&quot;??_);_(@_)"/>
    <numFmt numFmtId="173" formatCode="_(&quot;$&quot;* #,##0_);_(&quot;$&quot;* \(#,##0\);_(&quot;$&quot;* &quot;-&quot;??_);_(@_)"/>
    <numFmt numFmtId="174" formatCode="_(&quot;$&quot;* #,##0.0000_);_(&quot;$&quot;* \(#,##0.0000\);_(&quot;$&quot;* &quot;-&quot;??_);_(@_)"/>
    <numFmt numFmtId="175" formatCode="0.00000000"/>
    <numFmt numFmtId="176" formatCode="0.0%"/>
    <numFmt numFmtId="177" formatCode="_(&quot;$&quot;* #,##0.000_);_(&quot;$&quot;* \(#,##0.000\);_(&quot;$&quot;* &quot;-&quot;???_);_(@_)"/>
    <numFmt numFmtId="178" formatCode="&quot;Yes&quot;;&quot;Yes&quot;;&quot;No&quot;"/>
    <numFmt numFmtId="179" formatCode="&quot;True&quot;;&quot;True&quot;;&quot;False&quot;"/>
    <numFmt numFmtId="180" formatCode="&quot;On&quot;;&quot;On&quot;;&quot;Off&quot;"/>
    <numFmt numFmtId="181" formatCode="[$€-2]\ #,##0.00_);[Red]\([$€-2]\ #,##0.00\)"/>
    <numFmt numFmtId="182" formatCode="&quot;$&quot;#,##0.00"/>
    <numFmt numFmtId="183" formatCode="_(* #,##0.0_);_(* \(#,##0.0\);_(* &quot;-&quot;??_);_(@_)"/>
    <numFmt numFmtId="184" formatCode="_(* #,##0_);_(* \(#,##0\);_(* &quot;-&quot;??_);_(@_)"/>
    <numFmt numFmtId="185" formatCode="0\)."/>
    <numFmt numFmtId="186" formatCode="#%\)."/>
    <numFmt numFmtId="187" formatCode="#%."/>
    <numFmt numFmtId="188" formatCode="0.000%"/>
    <numFmt numFmtId="189" formatCode="#,##0.0"/>
  </numFmts>
  <fonts count="68">
    <font>
      <sz val="10"/>
      <name val="Arial"/>
      <family val="0"/>
    </font>
    <font>
      <b/>
      <sz val="10"/>
      <name val="Arial"/>
      <family val="2"/>
    </font>
    <font>
      <u val="single"/>
      <sz val="10"/>
      <color indexed="12"/>
      <name val="Arial"/>
      <family val="2"/>
    </font>
    <font>
      <u val="single"/>
      <sz val="10"/>
      <color indexed="36"/>
      <name val="Arial"/>
      <family val="2"/>
    </font>
    <font>
      <sz val="8"/>
      <name val="Arial"/>
      <family val="2"/>
    </font>
    <font>
      <sz val="8"/>
      <name val="Tahoma"/>
      <family val="2"/>
    </font>
    <font>
      <b/>
      <sz val="8"/>
      <name val="Tahoma"/>
      <family val="2"/>
    </font>
    <font>
      <b/>
      <sz val="16"/>
      <name val="Arial"/>
      <family val="2"/>
    </font>
    <font>
      <b/>
      <sz val="18"/>
      <color indexed="32"/>
      <name val="Arial"/>
      <family val="2"/>
    </font>
    <font>
      <sz val="14"/>
      <name val="Arial"/>
      <family val="2"/>
    </font>
    <font>
      <b/>
      <sz val="10"/>
      <color indexed="12"/>
      <name val="Arial"/>
      <family val="2"/>
    </font>
    <font>
      <b/>
      <sz val="10"/>
      <color indexed="9"/>
      <name val="Arial"/>
      <family val="2"/>
    </font>
    <font>
      <u val="single"/>
      <sz val="10"/>
      <name val="Arial"/>
      <family val="2"/>
    </font>
    <font>
      <i/>
      <sz val="10"/>
      <name val="Arial"/>
      <family val="2"/>
    </font>
    <font>
      <b/>
      <u val="single"/>
      <sz val="10"/>
      <name val="Arial"/>
      <family val="2"/>
    </font>
    <font>
      <b/>
      <i/>
      <sz val="10"/>
      <name val="Arial"/>
      <family val="2"/>
    </font>
    <font>
      <sz val="10"/>
      <color indexed="12"/>
      <name val="Arial"/>
      <family val="2"/>
    </font>
    <font>
      <sz val="8"/>
      <color indexed="17"/>
      <name val="Arial"/>
      <family val="2"/>
    </font>
    <font>
      <sz val="10"/>
      <color indexed="8"/>
      <name val="Arial"/>
      <family val="2"/>
    </font>
    <font>
      <b/>
      <sz val="12"/>
      <name val="Arial"/>
      <family val="2"/>
    </font>
    <font>
      <sz val="10"/>
      <color indexed="23"/>
      <name val="Arial"/>
      <family val="2"/>
    </font>
    <font>
      <b/>
      <sz val="10"/>
      <color indexed="55"/>
      <name val="Arial"/>
      <family val="2"/>
    </font>
    <font>
      <sz val="10"/>
      <color indexed="9"/>
      <name val="Arial"/>
      <family val="2"/>
    </font>
    <font>
      <b/>
      <sz val="8"/>
      <name val="Arial"/>
      <family val="2"/>
    </font>
    <font>
      <b/>
      <sz val="10"/>
      <color indexed="10"/>
      <name val="Arial"/>
      <family val="2"/>
    </font>
    <font>
      <sz val="9.75"/>
      <color indexed="8"/>
      <name val="Arial"/>
      <family val="2"/>
    </font>
    <font>
      <sz val="12"/>
      <color indexed="8"/>
      <name val="Arial"/>
      <family val="2"/>
    </font>
    <font>
      <sz val="8"/>
      <color indexed="8"/>
      <name val="Arial"/>
      <family val="2"/>
    </font>
    <font>
      <b/>
      <sz val="10"/>
      <color indexed="6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75"/>
      <color indexed="8"/>
      <name val="Arial"/>
      <family val="2"/>
    </font>
    <font>
      <b/>
      <sz val="12"/>
      <color indexed="8"/>
      <name val="Arial"/>
      <family val="2"/>
    </font>
    <font>
      <b/>
      <sz val="8"/>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4"/>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2"/>
        <bgColor indexed="64"/>
      </patternFill>
    </fill>
    <fill>
      <patternFill patternType="solid">
        <fgColor indexed="10"/>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color indexed="63"/>
      </top>
      <bottom style="thin"/>
    </border>
    <border>
      <left style="medium"/>
      <right>
        <color indexed="63"/>
      </right>
      <top>
        <color indexed="63"/>
      </top>
      <bottom>
        <color indexed="63"/>
      </bottom>
    </border>
    <border>
      <left style="thin"/>
      <right>
        <color indexed="63"/>
      </right>
      <top style="thin"/>
      <bottom>
        <color indexed="63"/>
      </bottom>
    </border>
    <border>
      <left>
        <color indexed="63"/>
      </left>
      <right style="medium"/>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style="thin"/>
      <bottom style="medium"/>
    </border>
    <border>
      <left style="thin"/>
      <right>
        <color indexed="63"/>
      </right>
      <top>
        <color indexed="63"/>
      </top>
      <bottom style="medium"/>
    </border>
    <border>
      <left style="medium"/>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style="thin"/>
      <right>
        <color indexed="63"/>
      </right>
      <top>
        <color indexed="63"/>
      </top>
      <bottom style="thin"/>
    </border>
    <border>
      <left>
        <color indexed="63"/>
      </left>
      <right style="medium"/>
      <top>
        <color indexed="63"/>
      </top>
      <bottom style="thin"/>
    </border>
    <border>
      <left>
        <color indexed="63"/>
      </left>
      <right style="thin"/>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style="thin"/>
      <top>
        <color indexed="63"/>
      </top>
      <bottom style="thin"/>
    </border>
    <border>
      <left style="thin"/>
      <right>
        <color indexed="63"/>
      </right>
      <top style="thin"/>
      <bottom style="medium"/>
    </border>
    <border>
      <left>
        <color indexed="63"/>
      </left>
      <right style="thin"/>
      <top style="thin"/>
      <bottom style="medium"/>
    </border>
    <border>
      <left>
        <color indexed="63"/>
      </left>
      <right style="thin"/>
      <top style="medium"/>
      <bottom style="thin"/>
    </border>
    <border>
      <left style="thin"/>
      <right style="double"/>
      <top style="thin"/>
      <bottom style="thin"/>
    </border>
    <border>
      <left style="thin"/>
      <right style="double"/>
      <top>
        <color indexed="63"/>
      </top>
      <bottom>
        <color indexed="63"/>
      </bottom>
    </border>
    <border>
      <left style="thin"/>
      <right style="double"/>
      <top style="thin"/>
      <bottom style="double"/>
    </border>
    <border>
      <left style="double"/>
      <right>
        <color indexed="63"/>
      </right>
      <top style="double"/>
      <bottom style="thin"/>
    </border>
    <border>
      <left style="thin"/>
      <right style="double"/>
      <top style="double"/>
      <bottom style="thin"/>
    </border>
    <border>
      <left style="double"/>
      <right style="thin"/>
      <top style="thin"/>
      <bottom style="thin"/>
    </border>
    <border>
      <left style="double"/>
      <right>
        <color indexed="63"/>
      </right>
      <top>
        <color indexed="63"/>
      </top>
      <bottom>
        <color indexed="63"/>
      </bottom>
    </border>
    <border>
      <left style="double"/>
      <right>
        <color indexed="63"/>
      </right>
      <top style="thin"/>
      <bottom style="thin"/>
    </border>
    <border>
      <left style="double"/>
      <right>
        <color indexed="63"/>
      </right>
      <top style="thin"/>
      <bottom style="double"/>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3"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470">
    <xf numFmtId="0" fontId="0" fillId="0" borderId="0" xfId="0" applyAlignment="1">
      <alignment/>
    </xf>
    <xf numFmtId="0" fontId="0" fillId="0" borderId="0" xfId="0" applyFont="1" applyAlignment="1">
      <alignment/>
    </xf>
    <xf numFmtId="0" fontId="4" fillId="0" borderId="0" xfId="0" applyFont="1" applyFill="1" applyAlignment="1">
      <alignment/>
    </xf>
    <xf numFmtId="0" fontId="1" fillId="0" borderId="10" xfId="0" applyFont="1" applyBorder="1" applyAlignment="1">
      <alignment horizontal="center" vertical="center" wrapText="1"/>
    </xf>
    <xf numFmtId="0" fontId="4" fillId="0" borderId="11" xfId="0" applyFont="1" applyFill="1" applyBorder="1" applyAlignment="1">
      <alignment/>
    </xf>
    <xf numFmtId="0" fontId="0" fillId="0" borderId="0" xfId="0" applyFont="1" applyFill="1" applyAlignment="1">
      <alignment/>
    </xf>
    <xf numFmtId="0" fontId="0" fillId="0" borderId="0" xfId="0" applyFont="1" applyFill="1" applyAlignment="1">
      <alignment horizontal="left"/>
    </xf>
    <xf numFmtId="0" fontId="0" fillId="0" borderId="0" xfId="0" applyFont="1" applyFill="1" applyAlignment="1">
      <alignment wrapText="1"/>
    </xf>
    <xf numFmtId="0" fontId="0" fillId="0" borderId="11" xfId="0" applyFont="1" applyFill="1" applyBorder="1" applyAlignment="1">
      <alignment horizontal="left"/>
    </xf>
    <xf numFmtId="0" fontId="0" fillId="0" borderId="0" xfId="0" applyFont="1" applyFill="1" applyBorder="1" applyAlignment="1">
      <alignment horizontal="left"/>
    </xf>
    <xf numFmtId="0" fontId="0"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1" fillId="0" borderId="15" xfId="0" applyFont="1" applyFill="1" applyBorder="1" applyAlignment="1">
      <alignment/>
    </xf>
    <xf numFmtId="0" fontId="1" fillId="0" borderId="15" xfId="0" applyFont="1" applyFill="1" applyBorder="1" applyAlignment="1">
      <alignment horizontal="center"/>
    </xf>
    <xf numFmtId="0" fontId="1"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center"/>
    </xf>
    <xf numFmtId="0" fontId="0" fillId="0" borderId="16" xfId="0" applyFont="1" applyFill="1" applyBorder="1" applyAlignment="1">
      <alignment horizontal="center"/>
    </xf>
    <xf numFmtId="0" fontId="0" fillId="0" borderId="17" xfId="0" applyFont="1" applyFill="1" applyBorder="1" applyAlignment="1">
      <alignment/>
    </xf>
    <xf numFmtId="0" fontId="0" fillId="0" borderId="0" xfId="0" applyFont="1" applyFill="1" applyBorder="1" applyAlignment="1">
      <alignment/>
    </xf>
    <xf numFmtId="0" fontId="0" fillId="0" borderId="18" xfId="0" applyFont="1" applyFill="1" applyBorder="1" applyAlignment="1">
      <alignment/>
    </xf>
    <xf numFmtId="0" fontId="1" fillId="0" borderId="19" xfId="0" applyFont="1" applyFill="1" applyBorder="1" applyAlignment="1">
      <alignment horizontal="left"/>
    </xf>
    <xf numFmtId="0" fontId="0" fillId="0" borderId="20" xfId="0" applyFont="1" applyFill="1" applyBorder="1" applyAlignment="1">
      <alignment horizontal="left"/>
    </xf>
    <xf numFmtId="0" fontId="0" fillId="0" borderId="21" xfId="0" applyFont="1" applyFill="1" applyBorder="1" applyAlignment="1">
      <alignment horizontal="center" wrapText="1"/>
    </xf>
    <xf numFmtId="0" fontId="1" fillId="0" borderId="22" xfId="0" applyFont="1" applyFill="1" applyBorder="1" applyAlignment="1">
      <alignment horizontal="center"/>
    </xf>
    <xf numFmtId="0" fontId="1" fillId="0" borderId="23" xfId="0" applyFont="1" applyFill="1" applyBorder="1" applyAlignment="1">
      <alignment horizontal="center"/>
    </xf>
    <xf numFmtId="0" fontId="0" fillId="0" borderId="24" xfId="0" applyFont="1" applyFill="1" applyBorder="1" applyAlignment="1">
      <alignment horizontal="center"/>
    </xf>
    <xf numFmtId="186" fontId="0" fillId="0" borderId="22" xfId="0" applyNumberFormat="1" applyFont="1" applyFill="1" applyBorder="1" applyAlignment="1">
      <alignment horizontal="center"/>
    </xf>
    <xf numFmtId="0" fontId="0" fillId="0" borderId="0" xfId="0" applyFont="1" applyFill="1" applyAlignment="1">
      <alignment horizontal="center"/>
    </xf>
    <xf numFmtId="0" fontId="0" fillId="0" borderId="25" xfId="0" applyFont="1" applyFill="1" applyBorder="1" applyAlignment="1">
      <alignment horizontal="center"/>
    </xf>
    <xf numFmtId="9" fontId="0" fillId="0" borderId="15" xfId="0" applyNumberFormat="1" applyFont="1" applyFill="1" applyBorder="1" applyAlignment="1">
      <alignment horizontal="center"/>
    </xf>
    <xf numFmtId="0" fontId="0" fillId="0" borderId="11" xfId="0" applyFont="1" applyFill="1" applyBorder="1" applyAlignment="1">
      <alignment/>
    </xf>
    <xf numFmtId="0" fontId="0" fillId="0" borderId="0" xfId="0" applyFont="1" applyFill="1" applyAlignment="1">
      <alignment horizontal="left"/>
    </xf>
    <xf numFmtId="0" fontId="0" fillId="0" borderId="26" xfId="0" applyFont="1" applyFill="1" applyBorder="1" applyAlignment="1">
      <alignment wrapText="1"/>
    </xf>
    <xf numFmtId="44" fontId="0" fillId="0" borderId="16" xfId="0" applyNumberFormat="1" applyFont="1" applyFill="1" applyBorder="1" applyAlignment="1">
      <alignment/>
    </xf>
    <xf numFmtId="44" fontId="0" fillId="0" borderId="0" xfId="0" applyNumberFormat="1" applyFont="1" applyFill="1" applyBorder="1" applyAlignment="1">
      <alignment/>
    </xf>
    <xf numFmtId="44" fontId="0" fillId="0" borderId="0" xfId="44" applyFont="1" applyFill="1" applyAlignment="1">
      <alignment/>
    </xf>
    <xf numFmtId="44" fontId="0" fillId="0" borderId="0" xfId="0" applyNumberFormat="1" applyFont="1" applyFill="1" applyAlignment="1">
      <alignment/>
    </xf>
    <xf numFmtId="8" fontId="0" fillId="0" borderId="0" xfId="44" applyNumberFormat="1" applyFont="1" applyFill="1" applyAlignment="1">
      <alignment/>
    </xf>
    <xf numFmtId="44" fontId="0" fillId="0" borderId="25" xfId="0" applyNumberFormat="1" applyFont="1" applyFill="1" applyBorder="1" applyAlignment="1">
      <alignment/>
    </xf>
    <xf numFmtId="8" fontId="0" fillId="0" borderId="27" xfId="0" applyNumberFormat="1" applyFont="1" applyFill="1" applyBorder="1" applyAlignment="1">
      <alignment/>
    </xf>
    <xf numFmtId="0" fontId="0" fillId="0" borderId="15" xfId="0" applyFont="1" applyFill="1" applyBorder="1" applyAlignment="1">
      <alignment/>
    </xf>
    <xf numFmtId="0" fontId="12" fillId="0" borderId="15" xfId="0" applyFont="1" applyFill="1" applyBorder="1" applyAlignment="1">
      <alignment horizontal="left"/>
    </xf>
    <xf numFmtId="0" fontId="0" fillId="0" borderId="27" xfId="0" applyFont="1" applyFill="1" applyBorder="1" applyAlignment="1">
      <alignment wrapText="1"/>
    </xf>
    <xf numFmtId="44" fontId="0" fillId="0" borderId="15" xfId="0" applyNumberFormat="1" applyFont="1" applyFill="1" applyBorder="1" applyAlignment="1">
      <alignment/>
    </xf>
    <xf numFmtId="0" fontId="0" fillId="0" borderId="0" xfId="0" applyFont="1" applyFill="1" applyAlignment="1">
      <alignment/>
    </xf>
    <xf numFmtId="44" fontId="0" fillId="0" borderId="15" xfId="44" applyFont="1" applyFill="1" applyBorder="1" applyAlignment="1">
      <alignment/>
    </xf>
    <xf numFmtId="8" fontId="0" fillId="0" borderId="15" xfId="44" applyNumberFormat="1" applyFont="1" applyFill="1" applyBorder="1" applyAlignment="1">
      <alignment/>
    </xf>
    <xf numFmtId="44" fontId="13" fillId="0" borderId="16" xfId="0" applyNumberFormat="1" applyFont="1" applyFill="1" applyBorder="1" applyAlignment="1">
      <alignment/>
    </xf>
    <xf numFmtId="44" fontId="13" fillId="0" borderId="0" xfId="0" applyNumberFormat="1" applyFont="1" applyFill="1" applyBorder="1" applyAlignment="1">
      <alignment/>
    </xf>
    <xf numFmtId="0" fontId="13" fillId="0" borderId="11" xfId="0" applyFont="1" applyFill="1" applyBorder="1" applyAlignment="1">
      <alignment/>
    </xf>
    <xf numFmtId="0" fontId="0" fillId="0" borderId="0" xfId="0" applyFont="1" applyFill="1" applyBorder="1" applyAlignment="1">
      <alignment/>
    </xf>
    <xf numFmtId="0" fontId="0" fillId="0" borderId="18" xfId="0" applyFont="1" applyFill="1" applyBorder="1" applyAlignment="1">
      <alignment/>
    </xf>
    <xf numFmtId="0" fontId="0" fillId="0" borderId="0" xfId="0" applyFont="1" applyFill="1" applyAlignment="1">
      <alignment/>
    </xf>
    <xf numFmtId="0" fontId="12" fillId="0" borderId="0" xfId="0" applyFont="1" applyFill="1" applyAlignment="1">
      <alignment horizontal="left" wrapText="1"/>
    </xf>
    <xf numFmtId="0" fontId="0" fillId="0" borderId="26" xfId="0" applyFont="1" applyFill="1" applyBorder="1" applyAlignment="1">
      <alignment wrapText="1"/>
    </xf>
    <xf numFmtId="44" fontId="0" fillId="0" borderId="0" xfId="0" applyNumberFormat="1" applyFont="1" applyFill="1" applyAlignment="1">
      <alignment/>
    </xf>
    <xf numFmtId="44" fontId="0" fillId="0" borderId="0" xfId="44" applyFont="1" applyFill="1" applyAlignment="1">
      <alignment/>
    </xf>
    <xf numFmtId="8" fontId="0" fillId="0" borderId="0" xfId="44" applyNumberFormat="1" applyFont="1" applyFill="1" applyAlignment="1">
      <alignment/>
    </xf>
    <xf numFmtId="0" fontId="0" fillId="0" borderId="16" xfId="0" applyFont="1" applyFill="1" applyBorder="1" applyAlignment="1">
      <alignment/>
    </xf>
    <xf numFmtId="0" fontId="0" fillId="0" borderId="0" xfId="0" applyFont="1" applyFill="1" applyBorder="1" applyAlignment="1">
      <alignment/>
    </xf>
    <xf numFmtId="0" fontId="0" fillId="0" borderId="11" xfId="0" applyFont="1" applyFill="1" applyBorder="1" applyAlignment="1">
      <alignment/>
    </xf>
    <xf numFmtId="0" fontId="0" fillId="0" borderId="18" xfId="0" applyFont="1" applyFill="1" applyBorder="1" applyAlignment="1">
      <alignment/>
    </xf>
    <xf numFmtId="8" fontId="13" fillId="0" borderId="26" xfId="0" applyNumberFormat="1" applyFont="1" applyFill="1" applyBorder="1" applyAlignment="1">
      <alignment/>
    </xf>
    <xf numFmtId="0" fontId="0" fillId="0" borderId="0" xfId="0" applyFont="1" applyFill="1" applyAlignment="1">
      <alignment horizontal="left"/>
    </xf>
    <xf numFmtId="0" fontId="0" fillId="0" borderId="26" xfId="0" applyFont="1" applyFill="1" applyBorder="1" applyAlignment="1">
      <alignment wrapText="1"/>
    </xf>
    <xf numFmtId="44" fontId="0" fillId="0" borderId="0" xfId="44" applyFont="1" applyFill="1" applyAlignment="1">
      <alignment/>
    </xf>
    <xf numFmtId="0" fontId="0" fillId="0" borderId="16" xfId="0" applyFont="1" applyFill="1" applyBorder="1" applyAlignment="1">
      <alignment/>
    </xf>
    <xf numFmtId="0" fontId="0" fillId="0" borderId="11" xfId="0" applyFont="1" applyFill="1" applyBorder="1" applyAlignment="1">
      <alignment/>
    </xf>
    <xf numFmtId="0" fontId="0" fillId="0" borderId="15" xfId="0" applyFont="1" applyFill="1" applyBorder="1" applyAlignment="1">
      <alignment horizontal="left"/>
    </xf>
    <xf numFmtId="0" fontId="0" fillId="0" borderId="27" xfId="0" applyFont="1" applyFill="1" applyBorder="1" applyAlignment="1">
      <alignment wrapText="1"/>
    </xf>
    <xf numFmtId="44" fontId="0" fillId="0" borderId="15" xfId="44" applyFont="1" applyFill="1" applyBorder="1" applyAlignment="1">
      <alignment/>
    </xf>
    <xf numFmtId="0" fontId="12" fillId="0" borderId="0" xfId="0" applyFont="1" applyFill="1" applyAlignment="1">
      <alignment horizontal="left"/>
    </xf>
    <xf numFmtId="0" fontId="14" fillId="0" borderId="26" xfId="0" applyFont="1" applyFill="1" applyBorder="1" applyAlignment="1">
      <alignment wrapText="1"/>
    </xf>
    <xf numFmtId="0" fontId="0" fillId="0" borderId="0" xfId="0" applyFont="1" applyFill="1" applyAlignment="1">
      <alignment/>
    </xf>
    <xf numFmtId="44" fontId="0" fillId="0" borderId="0" xfId="44" applyFont="1" applyFill="1" applyAlignment="1">
      <alignment/>
    </xf>
    <xf numFmtId="0" fontId="0" fillId="0" borderId="28" xfId="0" applyFont="1" applyFill="1" applyBorder="1" applyAlignment="1">
      <alignment/>
    </xf>
    <xf numFmtId="0" fontId="0" fillId="0" borderId="22" xfId="0" applyFont="1" applyFill="1" applyBorder="1" applyAlignment="1">
      <alignment/>
    </xf>
    <xf numFmtId="0" fontId="0" fillId="0" borderId="24" xfId="0" applyFont="1" applyFill="1" applyBorder="1" applyAlignment="1">
      <alignment/>
    </xf>
    <xf numFmtId="0" fontId="0" fillId="0" borderId="29" xfId="0" applyFont="1" applyFill="1" applyBorder="1" applyAlignment="1">
      <alignment/>
    </xf>
    <xf numFmtId="0" fontId="0" fillId="0" borderId="0" xfId="0" applyFont="1" applyFill="1" applyAlignment="1">
      <alignment horizontal="left"/>
    </xf>
    <xf numFmtId="0" fontId="0" fillId="0" borderId="26" xfId="0" applyFont="1" applyFill="1" applyBorder="1" applyAlignment="1">
      <alignment wrapText="1"/>
    </xf>
    <xf numFmtId="44" fontId="15" fillId="0" borderId="28" xfId="0" applyNumberFormat="1" applyFont="1" applyFill="1" applyBorder="1" applyAlignment="1">
      <alignment/>
    </xf>
    <xf numFmtId="44" fontId="15" fillId="0" borderId="22" xfId="0" applyNumberFormat="1" applyFont="1" applyFill="1" applyBorder="1" applyAlignment="1">
      <alignment/>
    </xf>
    <xf numFmtId="0" fontId="15" fillId="0" borderId="24" xfId="0" applyFont="1" applyFill="1" applyBorder="1" applyAlignment="1">
      <alignment/>
    </xf>
    <xf numFmtId="0" fontId="0" fillId="0" borderId="22" xfId="0" applyFont="1" applyFill="1" applyBorder="1" applyAlignment="1">
      <alignment/>
    </xf>
    <xf numFmtId="0" fontId="0" fillId="0" borderId="29" xfId="0" applyFont="1" applyFill="1" applyBorder="1" applyAlignment="1">
      <alignment/>
    </xf>
    <xf numFmtId="0" fontId="0" fillId="0" borderId="0" xfId="0" applyFont="1" applyFill="1" applyAlignment="1">
      <alignment/>
    </xf>
    <xf numFmtId="0" fontId="0" fillId="0" borderId="0" xfId="0" applyFont="1" applyFill="1" applyAlignment="1">
      <alignment horizontal="left"/>
    </xf>
    <xf numFmtId="0" fontId="0" fillId="0" borderId="26" xfId="0" applyFont="1" applyFill="1" applyBorder="1" applyAlignment="1">
      <alignment wrapText="1"/>
    </xf>
    <xf numFmtId="44" fontId="0" fillId="0" borderId="0" xfId="0" applyNumberFormat="1" applyFont="1" applyFill="1" applyAlignment="1">
      <alignment/>
    </xf>
    <xf numFmtId="44" fontId="0" fillId="0" borderId="0" xfId="44" applyFont="1" applyFill="1" applyAlignment="1">
      <alignment/>
    </xf>
    <xf numFmtId="0" fontId="13" fillId="0" borderId="26" xfId="0" applyFont="1" applyFill="1" applyBorder="1" applyAlignment="1">
      <alignment horizontal="right" wrapText="1"/>
    </xf>
    <xf numFmtId="44" fontId="0" fillId="0" borderId="0" xfId="0" applyNumberFormat="1" applyFont="1" applyFill="1" applyAlignment="1">
      <alignment/>
    </xf>
    <xf numFmtId="8" fontId="0" fillId="0" borderId="0" xfId="44" applyNumberFormat="1" applyFont="1" applyFill="1" applyAlignment="1">
      <alignment/>
    </xf>
    <xf numFmtId="0" fontId="0" fillId="0" borderId="26" xfId="0" applyFont="1" applyFill="1" applyBorder="1" applyAlignment="1">
      <alignment/>
    </xf>
    <xf numFmtId="0" fontId="0" fillId="0" borderId="30" xfId="0" applyFont="1" applyFill="1" applyBorder="1" applyAlignment="1">
      <alignment/>
    </xf>
    <xf numFmtId="0" fontId="0" fillId="0" borderId="31" xfId="0" applyFont="1" applyFill="1" applyBorder="1" applyAlignment="1">
      <alignment/>
    </xf>
    <xf numFmtId="0" fontId="0" fillId="0" borderId="32" xfId="0" applyFont="1" applyFill="1" applyBorder="1" applyAlignment="1">
      <alignment/>
    </xf>
    <xf numFmtId="0" fontId="1" fillId="0" borderId="26" xfId="0" applyFont="1" applyFill="1" applyBorder="1" applyAlignment="1">
      <alignment wrapText="1"/>
    </xf>
    <xf numFmtId="0" fontId="0" fillId="0" borderId="28" xfId="0" applyFont="1" applyFill="1" applyBorder="1" applyAlignment="1">
      <alignment horizontal="center"/>
    </xf>
    <xf numFmtId="0" fontId="0" fillId="0" borderId="22" xfId="0" applyFont="1" applyFill="1" applyBorder="1" applyAlignment="1">
      <alignment horizontal="center"/>
    </xf>
    <xf numFmtId="0" fontId="0" fillId="0" borderId="29" xfId="0" applyFont="1" applyFill="1" applyBorder="1" applyAlignment="1">
      <alignment horizontal="center"/>
    </xf>
    <xf numFmtId="0" fontId="0" fillId="0" borderId="26" xfId="0" applyFont="1" applyFill="1" applyBorder="1" applyAlignment="1">
      <alignment/>
    </xf>
    <xf numFmtId="0" fontId="0" fillId="0" borderId="16" xfId="0" applyFont="1" applyFill="1" applyBorder="1" applyAlignment="1">
      <alignment/>
    </xf>
    <xf numFmtId="3" fontId="0" fillId="0" borderId="0" xfId="0" applyNumberFormat="1" applyFont="1" applyFill="1" applyBorder="1" applyAlignment="1">
      <alignment/>
    </xf>
    <xf numFmtId="0" fontId="0" fillId="0" borderId="11" xfId="0" applyFont="1" applyFill="1" applyBorder="1" applyAlignment="1">
      <alignment horizontal="center"/>
    </xf>
    <xf numFmtId="3" fontId="0" fillId="0" borderId="11" xfId="0" applyNumberFormat="1" applyFont="1" applyFill="1" applyBorder="1" applyAlignment="1">
      <alignment/>
    </xf>
    <xf numFmtId="3" fontId="0" fillId="0" borderId="0" xfId="0" applyNumberFormat="1" applyFont="1" applyFill="1" applyBorder="1" applyAlignment="1">
      <alignment/>
    </xf>
    <xf numFmtId="3" fontId="0" fillId="0" borderId="18" xfId="0" applyNumberFormat="1" applyFont="1" applyFill="1" applyBorder="1" applyAlignment="1">
      <alignment/>
    </xf>
    <xf numFmtId="173" fontId="0" fillId="0" borderId="0" xfId="44" applyNumberFormat="1" applyFont="1" applyFill="1" applyBorder="1" applyAlignment="1">
      <alignment/>
    </xf>
    <xf numFmtId="173" fontId="0" fillId="0" borderId="11" xfId="44" applyNumberFormat="1" applyFont="1" applyFill="1" applyBorder="1" applyAlignment="1">
      <alignment horizontal="distributed"/>
    </xf>
    <xf numFmtId="173" fontId="0" fillId="0" borderId="0" xfId="44" applyNumberFormat="1" applyFont="1" applyFill="1" applyBorder="1" applyAlignment="1">
      <alignment horizontal="distributed"/>
    </xf>
    <xf numFmtId="173" fontId="0" fillId="0" borderId="18" xfId="44" applyNumberFormat="1" applyFont="1" applyFill="1" applyBorder="1" applyAlignment="1">
      <alignment horizontal="distributed"/>
    </xf>
    <xf numFmtId="173" fontId="0" fillId="0" borderId="11" xfId="0" applyNumberFormat="1" applyFont="1" applyFill="1" applyBorder="1" applyAlignment="1">
      <alignment/>
    </xf>
    <xf numFmtId="173" fontId="0" fillId="0" borderId="0" xfId="0" applyNumberFormat="1" applyFont="1" applyFill="1" applyBorder="1" applyAlignment="1">
      <alignment/>
    </xf>
    <xf numFmtId="173" fontId="0" fillId="0" borderId="18" xfId="0" applyNumberFormat="1" applyFont="1" applyFill="1" applyBorder="1" applyAlignment="1">
      <alignment/>
    </xf>
    <xf numFmtId="0" fontId="0" fillId="0" borderId="16" xfId="0" applyFont="1" applyFill="1" applyBorder="1" applyAlignment="1">
      <alignment horizontal="right"/>
    </xf>
    <xf numFmtId="3" fontId="0" fillId="0" borderId="16" xfId="0" applyNumberFormat="1" applyFont="1" applyFill="1" applyBorder="1" applyAlignment="1">
      <alignment/>
    </xf>
    <xf numFmtId="173" fontId="0" fillId="0" borderId="33" xfId="0" applyNumberFormat="1" applyFont="1" applyFill="1" applyBorder="1" applyAlignment="1">
      <alignment/>
    </xf>
    <xf numFmtId="0" fontId="0" fillId="0" borderId="16" xfId="0" applyFont="1" applyFill="1" applyBorder="1" applyAlignment="1">
      <alignment horizontal="center"/>
    </xf>
    <xf numFmtId="0" fontId="0" fillId="0" borderId="11" xfId="0" applyFont="1" applyFill="1" applyBorder="1" applyAlignment="1">
      <alignment horizontal="center"/>
    </xf>
    <xf numFmtId="0" fontId="0" fillId="0" borderId="15" xfId="0" applyFont="1" applyFill="1" applyBorder="1" applyAlignment="1">
      <alignment/>
    </xf>
    <xf numFmtId="3" fontId="0" fillId="0" borderId="33" xfId="0" applyNumberFormat="1" applyFont="1" applyFill="1" applyBorder="1" applyAlignment="1">
      <alignment/>
    </xf>
    <xf numFmtId="3" fontId="0" fillId="0" borderId="15" xfId="0" applyNumberFormat="1" applyFont="1" applyFill="1" applyBorder="1" applyAlignment="1">
      <alignment/>
    </xf>
    <xf numFmtId="3" fontId="0" fillId="0" borderId="34" xfId="0" applyNumberFormat="1" applyFont="1" applyFill="1" applyBorder="1" applyAlignment="1">
      <alignment/>
    </xf>
    <xf numFmtId="0" fontId="0" fillId="0" borderId="28" xfId="0" applyFont="1" applyFill="1" applyBorder="1" applyAlignment="1">
      <alignment horizontal="center"/>
    </xf>
    <xf numFmtId="0" fontId="0" fillId="0" borderId="24" xfId="0" applyFont="1" applyFill="1" applyBorder="1" applyAlignment="1">
      <alignment horizontal="center"/>
    </xf>
    <xf numFmtId="0" fontId="0" fillId="0" borderId="22" xfId="0" applyFont="1" applyFill="1" applyBorder="1" applyAlignment="1">
      <alignment/>
    </xf>
    <xf numFmtId="3" fontId="0" fillId="0" borderId="24" xfId="0" applyNumberFormat="1" applyFont="1" applyFill="1" applyBorder="1" applyAlignment="1">
      <alignment/>
    </xf>
    <xf numFmtId="3" fontId="0" fillId="0" borderId="22" xfId="0" applyNumberFormat="1" applyFont="1" applyFill="1" applyBorder="1" applyAlignment="1">
      <alignment/>
    </xf>
    <xf numFmtId="3" fontId="0" fillId="0" borderId="29" xfId="0" applyNumberFormat="1" applyFont="1" applyFill="1" applyBorder="1" applyAlignment="1">
      <alignment/>
    </xf>
    <xf numFmtId="1" fontId="0" fillId="0" borderId="0" xfId="0" applyNumberFormat="1" applyFont="1" applyFill="1" applyAlignment="1">
      <alignment/>
    </xf>
    <xf numFmtId="0" fontId="0" fillId="0" borderId="0" xfId="0" applyFont="1" applyFill="1" applyAlignment="1">
      <alignment horizontal="left"/>
    </xf>
    <xf numFmtId="0" fontId="0" fillId="0" borderId="26" xfId="0" applyFont="1" applyFill="1" applyBorder="1" applyAlignment="1">
      <alignment/>
    </xf>
    <xf numFmtId="44" fontId="0" fillId="0" borderId="22" xfId="0" applyNumberFormat="1" applyFont="1" applyFill="1" applyBorder="1" applyAlignment="1">
      <alignment/>
    </xf>
    <xf numFmtId="0" fontId="0" fillId="0" borderId="22" xfId="0" applyFont="1" applyFill="1" applyBorder="1" applyAlignment="1">
      <alignment horizontal="left"/>
    </xf>
    <xf numFmtId="0" fontId="1" fillId="0" borderId="35" xfId="0" applyFont="1" applyFill="1" applyBorder="1" applyAlignment="1">
      <alignment horizontal="right" wrapText="1"/>
    </xf>
    <xf numFmtId="9" fontId="0" fillId="0" borderId="22" xfId="0" applyNumberFormat="1" applyFont="1" applyFill="1" applyBorder="1" applyAlignment="1">
      <alignment horizontal="center"/>
    </xf>
    <xf numFmtId="0" fontId="0" fillId="0" borderId="26" xfId="0" applyFont="1" applyFill="1" applyBorder="1" applyAlignment="1">
      <alignment horizontal="right" wrapText="1"/>
    </xf>
    <xf numFmtId="9" fontId="0" fillId="0" borderId="0" xfId="0" applyNumberFormat="1" applyFont="1" applyFill="1" applyAlignment="1">
      <alignment/>
    </xf>
    <xf numFmtId="9" fontId="0" fillId="0" borderId="0" xfId="0" applyNumberFormat="1" applyFont="1" applyFill="1" applyAlignment="1">
      <alignment horizontal="center"/>
    </xf>
    <xf numFmtId="0" fontId="1" fillId="0" borderId="26" xfId="0" applyFont="1" applyFill="1" applyBorder="1" applyAlignment="1">
      <alignment horizontal="right"/>
    </xf>
    <xf numFmtId="0" fontId="0" fillId="0" borderId="26" xfId="0" applyFont="1" applyFill="1" applyBorder="1" applyAlignment="1">
      <alignment horizontal="right"/>
    </xf>
    <xf numFmtId="0" fontId="0" fillId="0" borderId="22" xfId="0" applyFont="1" applyFill="1" applyBorder="1" applyAlignment="1">
      <alignment horizontal="left"/>
    </xf>
    <xf numFmtId="0" fontId="0" fillId="0" borderId="35" xfId="0" applyFont="1" applyFill="1" applyBorder="1" applyAlignment="1">
      <alignment horizontal="right"/>
    </xf>
    <xf numFmtId="9" fontId="0" fillId="0" borderId="22" xfId="59" applyFont="1" applyFill="1" applyBorder="1" applyAlignment="1">
      <alignment horizontal="center"/>
    </xf>
    <xf numFmtId="0" fontId="0" fillId="0" borderId="26" xfId="0" applyFont="1" applyFill="1" applyBorder="1" applyAlignment="1">
      <alignment horizontal="center"/>
    </xf>
    <xf numFmtId="0" fontId="0" fillId="0" borderId="0" xfId="0" applyFont="1" applyFill="1" applyBorder="1" applyAlignment="1">
      <alignment horizontal="left"/>
    </xf>
    <xf numFmtId="9" fontId="0" fillId="0" borderId="0" xfId="0" applyNumberFormat="1" applyFont="1" applyFill="1" applyBorder="1" applyAlignment="1">
      <alignment horizontal="center"/>
    </xf>
    <xf numFmtId="9" fontId="0" fillId="0" borderId="36" xfId="59" applyFont="1" applyFill="1" applyBorder="1" applyAlignment="1">
      <alignment horizontal="center"/>
    </xf>
    <xf numFmtId="0" fontId="0" fillId="0" borderId="36" xfId="0" applyFont="1" applyFill="1" applyBorder="1" applyAlignment="1">
      <alignment/>
    </xf>
    <xf numFmtId="9" fontId="0" fillId="0" borderId="36" xfId="0" applyNumberFormat="1" applyFont="1" applyFill="1" applyBorder="1" applyAlignment="1">
      <alignment horizontal="center"/>
    </xf>
    <xf numFmtId="9" fontId="0" fillId="0" borderId="37" xfId="0" applyNumberFormat="1" applyFont="1" applyFill="1" applyBorder="1" applyAlignment="1">
      <alignment horizontal="center"/>
    </xf>
    <xf numFmtId="9" fontId="0" fillId="0" borderId="0" xfId="59" applyFont="1" applyFill="1" applyBorder="1" applyAlignment="1">
      <alignment horizontal="center"/>
    </xf>
    <xf numFmtId="9" fontId="0" fillId="0" borderId="26" xfId="0" applyNumberFormat="1" applyFont="1" applyFill="1" applyBorder="1" applyAlignment="1">
      <alignment horizontal="center"/>
    </xf>
    <xf numFmtId="9" fontId="0" fillId="0" borderId="26" xfId="59" applyFont="1" applyFill="1" applyBorder="1" applyAlignment="1">
      <alignment horizontal="center"/>
    </xf>
    <xf numFmtId="0" fontId="0" fillId="0" borderId="26" xfId="0" applyFont="1" applyFill="1" applyBorder="1" applyAlignment="1">
      <alignment horizontal="left"/>
    </xf>
    <xf numFmtId="9" fontId="0" fillId="0" borderId="15" xfId="59" applyFont="1" applyFill="1" applyBorder="1" applyAlignment="1">
      <alignment horizontal="center"/>
    </xf>
    <xf numFmtId="9" fontId="0" fillId="0" borderId="27" xfId="59" applyFont="1" applyFill="1" applyBorder="1" applyAlignment="1">
      <alignment horizontal="center"/>
    </xf>
    <xf numFmtId="9" fontId="0" fillId="0" borderId="37" xfId="59" applyFont="1" applyFill="1" applyBorder="1" applyAlignment="1">
      <alignment horizontal="center"/>
    </xf>
    <xf numFmtId="9" fontId="0" fillId="0" borderId="38" xfId="0" applyNumberFormat="1" applyFont="1" applyFill="1" applyBorder="1" applyAlignment="1">
      <alignment horizontal="center"/>
    </xf>
    <xf numFmtId="0" fontId="0" fillId="0" borderId="0" xfId="0" applyFont="1" applyFill="1" applyAlignment="1">
      <alignment horizontal="right"/>
    </xf>
    <xf numFmtId="0" fontId="0" fillId="0" borderId="0" xfId="0" applyFont="1" applyFill="1" applyAlignment="1">
      <alignment wrapText="1"/>
    </xf>
    <xf numFmtId="4" fontId="16" fillId="0" borderId="0" xfId="0" applyNumberFormat="1" applyFont="1" applyFill="1" applyAlignment="1">
      <alignment horizontal="center"/>
    </xf>
    <xf numFmtId="0" fontId="0" fillId="0" borderId="0" xfId="0" applyFont="1" applyFill="1" applyAlignment="1">
      <alignment/>
    </xf>
    <xf numFmtId="9" fontId="0" fillId="0" borderId="0" xfId="0" applyNumberFormat="1" applyFont="1" applyFill="1" applyBorder="1" applyAlignment="1">
      <alignment horizontal="center"/>
    </xf>
    <xf numFmtId="0" fontId="0" fillId="0" borderId="0" xfId="0" applyFont="1" applyFill="1" applyBorder="1" applyAlignment="1">
      <alignment/>
    </xf>
    <xf numFmtId="0" fontId="0" fillId="0" borderId="0" xfId="0" applyFont="1" applyFill="1" applyAlignment="1">
      <alignment horizontal="left"/>
    </xf>
    <xf numFmtId="4" fontId="0" fillId="0" borderId="0" xfId="0" applyNumberFormat="1" applyFont="1" applyFill="1" applyAlignment="1">
      <alignment/>
    </xf>
    <xf numFmtId="0" fontId="0" fillId="0" borderId="0" xfId="0" applyFont="1" applyFill="1" applyAlignment="1">
      <alignment wrapText="1"/>
    </xf>
    <xf numFmtId="0" fontId="16" fillId="0" borderId="0" xfId="0" applyFont="1" applyFill="1" applyAlignment="1">
      <alignment wrapText="1"/>
    </xf>
    <xf numFmtId="9" fontId="16" fillId="0" borderId="0" xfId="0" applyNumberFormat="1" applyFont="1" applyFill="1" applyAlignment="1">
      <alignment wrapText="1"/>
    </xf>
    <xf numFmtId="0" fontId="1" fillId="0" borderId="39" xfId="0" applyFont="1" applyFill="1" applyBorder="1" applyAlignment="1">
      <alignment/>
    </xf>
    <xf numFmtId="0" fontId="0" fillId="0" borderId="40" xfId="0" applyFont="1" applyFill="1" applyBorder="1" applyAlignment="1">
      <alignment/>
    </xf>
    <xf numFmtId="0" fontId="0" fillId="0" borderId="41" xfId="0" applyFont="1" applyFill="1" applyBorder="1" applyAlignment="1">
      <alignment/>
    </xf>
    <xf numFmtId="0" fontId="0" fillId="0" borderId="38" xfId="0" applyFont="1" applyFill="1" applyBorder="1" applyAlignment="1">
      <alignment/>
    </xf>
    <xf numFmtId="0" fontId="1" fillId="0" borderId="19" xfId="0" applyFont="1" applyFill="1" applyBorder="1" applyAlignment="1">
      <alignment/>
    </xf>
    <xf numFmtId="0" fontId="1" fillId="0" borderId="38" xfId="0" applyFont="1" applyFill="1" applyBorder="1" applyAlignment="1">
      <alignment/>
    </xf>
    <xf numFmtId="0" fontId="1" fillId="0" borderId="21" xfId="0" applyFont="1" applyFill="1" applyBorder="1" applyAlignment="1">
      <alignment/>
    </xf>
    <xf numFmtId="184" fontId="0" fillId="0" borderId="16" xfId="42" applyNumberFormat="1" applyFont="1" applyFill="1" applyBorder="1" applyAlignment="1">
      <alignment horizontal="right"/>
    </xf>
    <xf numFmtId="44" fontId="0" fillId="0" borderId="17" xfId="44" applyFont="1" applyFill="1" applyBorder="1" applyAlignment="1">
      <alignment/>
    </xf>
    <xf numFmtId="44" fontId="0" fillId="0" borderId="10" xfId="44" applyFont="1" applyFill="1" applyBorder="1" applyAlignment="1">
      <alignment/>
    </xf>
    <xf numFmtId="44" fontId="0" fillId="0" borderId="37" xfId="44" applyFont="1" applyFill="1" applyBorder="1" applyAlignment="1">
      <alignment/>
    </xf>
    <xf numFmtId="44" fontId="0" fillId="0" borderId="37" xfId="0" applyNumberFormat="1" applyFont="1" applyFill="1" applyBorder="1" applyAlignment="1">
      <alignment/>
    </xf>
    <xf numFmtId="0" fontId="0" fillId="0" borderId="37" xfId="0" applyFont="1" applyFill="1" applyBorder="1" applyAlignment="1">
      <alignment/>
    </xf>
    <xf numFmtId="0" fontId="14" fillId="0" borderId="11" xfId="0" applyFont="1" applyFill="1" applyBorder="1" applyAlignment="1">
      <alignment/>
    </xf>
    <xf numFmtId="44" fontId="14" fillId="0" borderId="11" xfId="44" applyFont="1" applyFill="1" applyBorder="1" applyAlignment="1">
      <alignment/>
    </xf>
    <xf numFmtId="44" fontId="14" fillId="0" borderId="42" xfId="44" applyFont="1" applyFill="1" applyBorder="1" applyAlignment="1">
      <alignment/>
    </xf>
    <xf numFmtId="44" fontId="14" fillId="0" borderId="26" xfId="44" applyFont="1" applyFill="1" applyBorder="1" applyAlignment="1">
      <alignment/>
    </xf>
    <xf numFmtId="0" fontId="14" fillId="0" borderId="26" xfId="0" applyFont="1" applyFill="1" applyBorder="1" applyAlignment="1">
      <alignment/>
    </xf>
    <xf numFmtId="0" fontId="14" fillId="0" borderId="0" xfId="0" applyFont="1" applyFill="1" applyBorder="1" applyAlignment="1">
      <alignment/>
    </xf>
    <xf numFmtId="184" fontId="13" fillId="0" borderId="16" xfId="0" applyNumberFormat="1" applyFont="1" applyFill="1" applyBorder="1" applyAlignment="1">
      <alignment/>
    </xf>
    <xf numFmtId="0" fontId="13" fillId="0" borderId="0" xfId="0" applyFont="1" applyFill="1" applyBorder="1" applyAlignment="1">
      <alignment/>
    </xf>
    <xf numFmtId="0" fontId="14" fillId="0" borderId="0" xfId="0" applyFont="1" applyFill="1" applyAlignment="1">
      <alignment/>
    </xf>
    <xf numFmtId="0" fontId="0" fillId="0" borderId="11" xfId="0" applyFont="1" applyFill="1" applyBorder="1" applyAlignment="1">
      <alignment/>
    </xf>
    <xf numFmtId="44" fontId="0" fillId="0" borderId="11" xfId="44" applyFont="1" applyFill="1" applyBorder="1" applyAlignment="1">
      <alignment/>
    </xf>
    <xf numFmtId="44" fontId="0" fillId="0" borderId="42" xfId="44" applyFont="1" applyFill="1" applyBorder="1" applyAlignment="1">
      <alignment/>
    </xf>
    <xf numFmtId="44" fontId="0" fillId="0" borderId="26" xfId="44" applyFont="1" applyFill="1" applyBorder="1" applyAlignment="1">
      <alignment/>
    </xf>
    <xf numFmtId="44" fontId="0" fillId="0" borderId="26" xfId="0" applyNumberFormat="1" applyFont="1" applyFill="1" applyBorder="1" applyAlignment="1">
      <alignment/>
    </xf>
    <xf numFmtId="0" fontId="0" fillId="0" borderId="26" xfId="0" applyFont="1" applyFill="1" applyBorder="1" applyAlignment="1">
      <alignment/>
    </xf>
    <xf numFmtId="0" fontId="0" fillId="0" borderId="0" xfId="0" applyFont="1" applyFill="1" applyBorder="1" applyAlignment="1">
      <alignment/>
    </xf>
    <xf numFmtId="3" fontId="13" fillId="0" borderId="16" xfId="0" applyNumberFormat="1" applyFont="1" applyFill="1" applyBorder="1" applyAlignment="1">
      <alignment/>
    </xf>
    <xf numFmtId="10" fontId="0" fillId="0" borderId="11" xfId="59" applyNumberFormat="1" applyFont="1" applyFill="1" applyBorder="1" applyAlignment="1">
      <alignment/>
    </xf>
    <xf numFmtId="10" fontId="0" fillId="0" borderId="42" xfId="59" applyNumberFormat="1" applyFont="1" applyFill="1" applyBorder="1" applyAlignment="1">
      <alignment/>
    </xf>
    <xf numFmtId="10" fontId="0" fillId="0" borderId="26" xfId="59" applyNumberFormat="1" applyFont="1" applyFill="1" applyBorder="1" applyAlignment="1">
      <alignment/>
    </xf>
    <xf numFmtId="1" fontId="13" fillId="0" borderId="28" xfId="0" applyNumberFormat="1" applyFont="1" applyFill="1" applyBorder="1" applyAlignment="1">
      <alignment/>
    </xf>
    <xf numFmtId="0" fontId="13" fillId="0" borderId="22" xfId="0" applyFont="1" applyFill="1" applyBorder="1" applyAlignment="1">
      <alignment/>
    </xf>
    <xf numFmtId="0" fontId="0" fillId="0" borderId="29" xfId="0" applyFont="1" applyFill="1" applyBorder="1" applyAlignment="1">
      <alignment/>
    </xf>
    <xf numFmtId="10" fontId="0" fillId="0" borderId="11" xfId="0" applyNumberFormat="1" applyFont="1" applyFill="1" applyBorder="1" applyAlignment="1">
      <alignment/>
    </xf>
    <xf numFmtId="10" fontId="0" fillId="0" borderId="42" xfId="0" applyNumberFormat="1" applyFont="1" applyFill="1" applyBorder="1" applyAlignment="1">
      <alignment/>
    </xf>
    <xf numFmtId="10" fontId="0" fillId="0" borderId="26" xfId="0" applyNumberFormat="1" applyFont="1" applyFill="1" applyBorder="1" applyAlignment="1">
      <alignment/>
    </xf>
    <xf numFmtId="44" fontId="0" fillId="0" borderId="11" xfId="44" applyFont="1" applyFill="1" applyBorder="1" applyAlignment="1">
      <alignment/>
    </xf>
    <xf numFmtId="44" fontId="0" fillId="0" borderId="42" xfId="44" applyFont="1" applyFill="1" applyBorder="1" applyAlignment="1">
      <alignment/>
    </xf>
    <xf numFmtId="44" fontId="0" fillId="0" borderId="26" xfId="44" applyFont="1" applyFill="1" applyBorder="1" applyAlignment="1">
      <alignment/>
    </xf>
    <xf numFmtId="44" fontId="0" fillId="0" borderId="26" xfId="0" applyNumberFormat="1" applyFont="1" applyFill="1" applyBorder="1" applyAlignment="1">
      <alignment/>
    </xf>
    <xf numFmtId="0" fontId="1" fillId="0" borderId="11" xfId="0" applyFont="1" applyFill="1" applyBorder="1" applyAlignment="1">
      <alignment/>
    </xf>
    <xf numFmtId="44" fontId="1" fillId="0" borderId="11" xfId="44" applyNumberFormat="1" applyFont="1" applyFill="1" applyBorder="1" applyAlignment="1">
      <alignment/>
    </xf>
    <xf numFmtId="44" fontId="1" fillId="0" borderId="42" xfId="44" applyNumberFormat="1" applyFont="1" applyFill="1" applyBorder="1" applyAlignment="1">
      <alignment/>
    </xf>
    <xf numFmtId="44" fontId="1" fillId="0" borderId="26" xfId="44" applyNumberFormat="1" applyFont="1" applyFill="1" applyBorder="1" applyAlignment="1">
      <alignment/>
    </xf>
    <xf numFmtId="44" fontId="1" fillId="0" borderId="26" xfId="0" applyNumberFormat="1" applyFont="1" applyFill="1" applyBorder="1" applyAlignment="1">
      <alignment/>
    </xf>
    <xf numFmtId="44" fontId="1" fillId="0" borderId="0" xfId="0" applyNumberFormat="1" applyFont="1" applyFill="1" applyBorder="1" applyAlignment="1">
      <alignment/>
    </xf>
    <xf numFmtId="0" fontId="12" fillId="0" borderId="11" xfId="0" applyFont="1" applyFill="1" applyBorder="1" applyAlignment="1">
      <alignment/>
    </xf>
    <xf numFmtId="9" fontId="0" fillId="0" borderId="11" xfId="59" applyFont="1" applyFill="1" applyBorder="1" applyAlignment="1">
      <alignment/>
    </xf>
    <xf numFmtId="0" fontId="0" fillId="0" borderId="42" xfId="0" applyFont="1" applyFill="1" applyBorder="1" applyAlignment="1">
      <alignment/>
    </xf>
    <xf numFmtId="44" fontId="0" fillId="0" borderId="11" xfId="44" applyFont="1" applyFill="1" applyBorder="1" applyAlignment="1">
      <alignment/>
    </xf>
    <xf numFmtId="44" fontId="0" fillId="0" borderId="42" xfId="44" applyFont="1" applyFill="1" applyBorder="1" applyAlignment="1">
      <alignment/>
    </xf>
    <xf numFmtId="44" fontId="0" fillId="0" borderId="26" xfId="44" applyFont="1" applyFill="1" applyBorder="1" applyAlignment="1">
      <alignment/>
    </xf>
    <xf numFmtId="44" fontId="0" fillId="0" borderId="26" xfId="0" applyNumberFormat="1" applyFont="1" applyFill="1" applyBorder="1" applyAlignment="1">
      <alignment/>
    </xf>
    <xf numFmtId="44" fontId="0" fillId="0" borderId="42" xfId="0" applyNumberFormat="1" applyFont="1" applyFill="1" applyBorder="1" applyAlignment="1">
      <alignment/>
    </xf>
    <xf numFmtId="44" fontId="0" fillId="0" borderId="0" xfId="0" applyNumberFormat="1" applyFont="1" applyFill="1" applyBorder="1" applyAlignment="1">
      <alignment/>
    </xf>
    <xf numFmtId="1" fontId="0" fillId="0" borderId="11" xfId="0" applyNumberFormat="1" applyFont="1" applyFill="1" applyBorder="1" applyAlignment="1">
      <alignment/>
    </xf>
    <xf numFmtId="1" fontId="0" fillId="0" borderId="42" xfId="0" applyNumberFormat="1" applyFont="1" applyFill="1" applyBorder="1" applyAlignment="1">
      <alignment/>
    </xf>
    <xf numFmtId="1" fontId="0" fillId="0" borderId="26" xfId="0" applyNumberFormat="1" applyFont="1" applyFill="1" applyBorder="1" applyAlignment="1">
      <alignment/>
    </xf>
    <xf numFmtId="165" fontId="0" fillId="0" borderId="26" xfId="0" applyNumberFormat="1" applyFont="1" applyFill="1" applyBorder="1" applyAlignment="1">
      <alignment/>
    </xf>
    <xf numFmtId="165" fontId="0" fillId="0" borderId="0" xfId="0" applyNumberFormat="1" applyFont="1" applyFill="1" applyBorder="1" applyAlignment="1">
      <alignment/>
    </xf>
    <xf numFmtId="0" fontId="0" fillId="0" borderId="27" xfId="0" applyFont="1" applyFill="1" applyBorder="1" applyAlignment="1">
      <alignment/>
    </xf>
    <xf numFmtId="0" fontId="0" fillId="0" borderId="27" xfId="0" applyFont="1" applyFill="1" applyBorder="1" applyAlignment="1">
      <alignment horizontal="center"/>
    </xf>
    <xf numFmtId="0" fontId="0" fillId="0" borderId="0" xfId="0" applyFont="1" applyFill="1" applyBorder="1" applyAlignment="1">
      <alignment horizontal="center"/>
    </xf>
    <xf numFmtId="44" fontId="0" fillId="0" borderId="11" xfId="0" applyNumberFormat="1" applyFont="1" applyFill="1" applyBorder="1" applyAlignment="1">
      <alignment/>
    </xf>
    <xf numFmtId="9" fontId="0" fillId="0" borderId="26" xfId="0" applyNumberFormat="1" applyFont="1" applyFill="1" applyBorder="1" applyAlignment="1">
      <alignment horizontal="center"/>
    </xf>
    <xf numFmtId="44" fontId="0" fillId="0" borderId="33" xfId="44" applyFont="1" applyFill="1" applyBorder="1" applyAlignment="1">
      <alignment/>
    </xf>
    <xf numFmtId="44" fontId="0" fillId="0" borderId="43" xfId="44" applyFont="1" applyFill="1" applyBorder="1" applyAlignment="1">
      <alignment/>
    </xf>
    <xf numFmtId="44" fontId="0" fillId="0" borderId="27" xfId="44" applyFont="1" applyFill="1" applyBorder="1" applyAlignment="1">
      <alignment/>
    </xf>
    <xf numFmtId="44" fontId="0" fillId="0" borderId="0" xfId="44" applyFont="1" applyFill="1" applyBorder="1" applyAlignment="1">
      <alignment/>
    </xf>
    <xf numFmtId="0" fontId="1" fillId="0" borderId="33" xfId="0" applyFont="1" applyFill="1" applyBorder="1" applyAlignment="1">
      <alignment/>
    </xf>
    <xf numFmtId="44" fontId="1" fillId="0" borderId="33" xfId="0" applyNumberFormat="1" applyFont="1" applyFill="1" applyBorder="1" applyAlignment="1">
      <alignment/>
    </xf>
    <xf numFmtId="44" fontId="1" fillId="0" borderId="43" xfId="0" applyNumberFormat="1" applyFont="1" applyFill="1" applyBorder="1" applyAlignment="1">
      <alignment/>
    </xf>
    <xf numFmtId="44" fontId="1" fillId="0" borderId="27" xfId="0" applyNumberFormat="1" applyFont="1" applyFill="1" applyBorder="1" applyAlignment="1">
      <alignment/>
    </xf>
    <xf numFmtId="9" fontId="0" fillId="0" borderId="27" xfId="0" applyNumberFormat="1" applyFont="1" applyFill="1" applyBorder="1" applyAlignment="1">
      <alignment horizontal="center"/>
    </xf>
    <xf numFmtId="44" fontId="0" fillId="0" borderId="27" xfId="0" applyNumberFormat="1" applyFont="1" applyFill="1" applyBorder="1" applyAlignment="1">
      <alignment/>
    </xf>
    <xf numFmtId="0" fontId="0" fillId="0" borderId="19" xfId="0" applyFont="1" applyFill="1" applyBorder="1" applyAlignment="1">
      <alignment/>
    </xf>
    <xf numFmtId="0" fontId="0" fillId="0" borderId="21" xfId="0" applyFont="1" applyFill="1" applyBorder="1" applyAlignment="1">
      <alignment/>
    </xf>
    <xf numFmtId="1" fontId="0" fillId="0" borderId="11" xfId="0" applyNumberFormat="1" applyFont="1" applyFill="1" applyBorder="1" applyAlignment="1">
      <alignment/>
    </xf>
    <xf numFmtId="1" fontId="0" fillId="0" borderId="42" xfId="0" applyNumberFormat="1" applyFont="1" applyFill="1" applyBorder="1" applyAlignment="1">
      <alignment/>
    </xf>
    <xf numFmtId="1" fontId="0" fillId="0" borderId="26" xfId="0" applyNumberFormat="1" applyFont="1" applyFill="1" applyBorder="1" applyAlignment="1">
      <alignment/>
    </xf>
    <xf numFmtId="184" fontId="0" fillId="0" borderId="26" xfId="42" applyNumberFormat="1" applyFont="1" applyFill="1" applyBorder="1" applyAlignment="1">
      <alignment/>
    </xf>
    <xf numFmtId="1" fontId="0" fillId="0" borderId="0" xfId="0" applyNumberFormat="1" applyFont="1" applyFill="1" applyAlignment="1">
      <alignment/>
    </xf>
    <xf numFmtId="44" fontId="0" fillId="0" borderId="11" xfId="44" applyFont="1" applyFill="1" applyBorder="1" applyAlignment="1">
      <alignment/>
    </xf>
    <xf numFmtId="44" fontId="0" fillId="0" borderId="42" xfId="44" applyFont="1" applyFill="1" applyBorder="1" applyAlignment="1">
      <alignment/>
    </xf>
    <xf numFmtId="44" fontId="0" fillId="0" borderId="26" xfId="44" applyFont="1" applyFill="1" applyBorder="1" applyAlignment="1">
      <alignment/>
    </xf>
    <xf numFmtId="0" fontId="0" fillId="0" borderId="33" xfId="0" applyFont="1" applyFill="1" applyBorder="1" applyAlignment="1">
      <alignment/>
    </xf>
    <xf numFmtId="44" fontId="0" fillId="0" borderId="33" xfId="0" applyNumberFormat="1" applyFont="1" applyFill="1" applyBorder="1" applyAlignment="1">
      <alignment/>
    </xf>
    <xf numFmtId="44" fontId="0" fillId="0" borderId="43" xfId="0" applyNumberFormat="1" applyFont="1" applyFill="1" applyBorder="1" applyAlignment="1">
      <alignment/>
    </xf>
    <xf numFmtId="184" fontId="0" fillId="0" borderId="27" xfId="42" applyNumberFormat="1" applyFont="1" applyFill="1" applyBorder="1" applyAlignment="1">
      <alignment/>
    </xf>
    <xf numFmtId="184" fontId="0" fillId="0" borderId="0" xfId="42" applyNumberFormat="1" applyFont="1" applyFill="1" applyAlignment="1">
      <alignment/>
    </xf>
    <xf numFmtId="184" fontId="1" fillId="0" borderId="21" xfId="42" applyNumberFormat="1" applyFont="1" applyFill="1" applyBorder="1" applyAlignment="1">
      <alignment/>
    </xf>
    <xf numFmtId="4" fontId="0" fillId="0" borderId="0" xfId="0" applyNumberFormat="1" applyFont="1" applyFill="1" applyAlignment="1">
      <alignment/>
    </xf>
    <xf numFmtId="1" fontId="0" fillId="0" borderId="11" xfId="44" applyNumberFormat="1" applyFont="1" applyFill="1" applyBorder="1" applyAlignment="1">
      <alignment/>
    </xf>
    <xf numFmtId="1" fontId="0" fillId="0" borderId="42" xfId="44" applyNumberFormat="1" applyFont="1" applyFill="1" applyBorder="1" applyAlignment="1">
      <alignment/>
    </xf>
    <xf numFmtId="1" fontId="0" fillId="0" borderId="26" xfId="44" applyNumberFormat="1" applyFont="1" applyFill="1" applyBorder="1" applyAlignment="1">
      <alignment/>
    </xf>
    <xf numFmtId="44" fontId="0" fillId="0" borderId="11" xfId="44" applyNumberFormat="1" applyFont="1" applyFill="1" applyBorder="1" applyAlignment="1">
      <alignment/>
    </xf>
    <xf numFmtId="44" fontId="0" fillId="0" borderId="42" xfId="44" applyNumberFormat="1" applyFont="1" applyFill="1" applyBorder="1" applyAlignment="1">
      <alignment/>
    </xf>
    <xf numFmtId="44" fontId="0" fillId="0" borderId="26" xfId="44" applyNumberFormat="1" applyFont="1" applyFill="1" applyBorder="1" applyAlignment="1">
      <alignment/>
    </xf>
    <xf numFmtId="0" fontId="0" fillId="0" borderId="42" xfId="0" applyFont="1" applyFill="1" applyBorder="1" applyAlignment="1">
      <alignment/>
    </xf>
    <xf numFmtId="44" fontId="0" fillId="0" borderId="33" xfId="44" applyFont="1" applyFill="1" applyBorder="1" applyAlignment="1">
      <alignment/>
    </xf>
    <xf numFmtId="44" fontId="0" fillId="0" borderId="43" xfId="44" applyFont="1" applyFill="1" applyBorder="1" applyAlignment="1">
      <alignment/>
    </xf>
    <xf numFmtId="44" fontId="0" fillId="0" borderId="27" xfId="44" applyFont="1" applyFill="1" applyBorder="1" applyAlignment="1">
      <alignment/>
    </xf>
    <xf numFmtId="3" fontId="0" fillId="0" borderId="0" xfId="0" applyNumberFormat="1" applyFont="1" applyFill="1" applyAlignment="1">
      <alignment/>
    </xf>
    <xf numFmtId="44" fontId="0" fillId="0" borderId="11" xfId="0" applyNumberFormat="1" applyFont="1" applyFill="1" applyBorder="1" applyAlignment="1">
      <alignment/>
    </xf>
    <xf numFmtId="44" fontId="0" fillId="0" borderId="42" xfId="0" applyNumberFormat="1" applyFont="1" applyFill="1" applyBorder="1" applyAlignment="1">
      <alignment/>
    </xf>
    <xf numFmtId="44" fontId="0" fillId="0" borderId="26" xfId="0" applyNumberFormat="1" applyFont="1" applyFill="1" applyBorder="1" applyAlignment="1">
      <alignment/>
    </xf>
    <xf numFmtId="0" fontId="14" fillId="0" borderId="42" xfId="0" applyFont="1" applyFill="1" applyBorder="1" applyAlignment="1">
      <alignment/>
    </xf>
    <xf numFmtId="10" fontId="0" fillId="0" borderId="11" xfId="0" applyNumberFormat="1" applyFont="1" applyFill="1" applyBorder="1" applyAlignment="1">
      <alignment/>
    </xf>
    <xf numFmtId="10" fontId="0" fillId="0" borderId="42" xfId="0" applyNumberFormat="1" applyFont="1" applyFill="1" applyBorder="1" applyAlignment="1">
      <alignment/>
    </xf>
    <xf numFmtId="10" fontId="0" fillId="0" borderId="26" xfId="0" applyNumberFormat="1" applyFont="1" applyFill="1" applyBorder="1" applyAlignment="1">
      <alignment/>
    </xf>
    <xf numFmtId="44" fontId="0" fillId="0" borderId="11" xfId="0" applyNumberFormat="1" applyFont="1" applyFill="1" applyBorder="1" applyAlignment="1">
      <alignment/>
    </xf>
    <xf numFmtId="44" fontId="0" fillId="0" borderId="42" xfId="0" applyNumberFormat="1" applyFont="1" applyFill="1" applyBorder="1" applyAlignment="1">
      <alignment/>
    </xf>
    <xf numFmtId="44" fontId="0" fillId="0" borderId="0" xfId="0" applyNumberFormat="1" applyFont="1" applyFill="1" applyAlignment="1">
      <alignment/>
    </xf>
    <xf numFmtId="0" fontId="0" fillId="0" borderId="33" xfId="0" applyFont="1" applyFill="1" applyBorder="1" applyAlignment="1">
      <alignment/>
    </xf>
    <xf numFmtId="2" fontId="0" fillId="0" borderId="33" xfId="0" applyNumberFormat="1" applyFont="1" applyFill="1" applyBorder="1" applyAlignment="1">
      <alignment/>
    </xf>
    <xf numFmtId="2" fontId="0" fillId="0" borderId="43" xfId="0" applyNumberFormat="1" applyFont="1" applyFill="1" applyBorder="1" applyAlignment="1">
      <alignment/>
    </xf>
    <xf numFmtId="2" fontId="0" fillId="0" borderId="27" xfId="0" applyNumberFormat="1" applyFont="1" applyFill="1" applyBorder="1" applyAlignment="1">
      <alignment/>
    </xf>
    <xf numFmtId="0" fontId="0" fillId="0" borderId="27" xfId="0" applyFont="1" applyFill="1" applyBorder="1" applyAlignment="1">
      <alignment/>
    </xf>
    <xf numFmtId="0" fontId="1" fillId="0" borderId="20" xfId="0" applyFont="1" applyFill="1" applyBorder="1" applyAlignment="1">
      <alignment/>
    </xf>
    <xf numFmtId="1" fontId="0" fillId="0" borderId="17" xfId="0" applyNumberFormat="1" applyFont="1" applyFill="1" applyBorder="1" applyAlignment="1">
      <alignment/>
    </xf>
    <xf numFmtId="1" fontId="0" fillId="0" borderId="10" xfId="0" applyNumberFormat="1" applyFont="1" applyFill="1" applyBorder="1" applyAlignment="1">
      <alignment/>
    </xf>
    <xf numFmtId="1" fontId="0" fillId="0" borderId="37" xfId="0" applyNumberFormat="1" applyFont="1" applyFill="1" applyBorder="1" applyAlignment="1">
      <alignment/>
    </xf>
    <xf numFmtId="173" fontId="0" fillId="0" borderId="33" xfId="44" applyNumberFormat="1" applyFont="1" applyFill="1" applyBorder="1" applyAlignment="1">
      <alignment/>
    </xf>
    <xf numFmtId="173" fontId="0" fillId="0" borderId="43" xfId="44" applyNumberFormat="1" applyFont="1" applyFill="1" applyBorder="1" applyAlignment="1">
      <alignment/>
    </xf>
    <xf numFmtId="173" fontId="0" fillId="0" borderId="27" xfId="44" applyNumberFormat="1" applyFont="1" applyFill="1" applyBorder="1" applyAlignment="1">
      <alignment/>
    </xf>
    <xf numFmtId="173" fontId="0" fillId="0" borderId="27" xfId="0" applyNumberFormat="1" applyFont="1" applyFill="1" applyBorder="1" applyAlignment="1">
      <alignment/>
    </xf>
    <xf numFmtId="0" fontId="1" fillId="0" borderId="42" xfId="0" applyFont="1" applyFill="1" applyBorder="1" applyAlignment="1">
      <alignment/>
    </xf>
    <xf numFmtId="0" fontId="1" fillId="0" borderId="26" xfId="0" applyFont="1" applyFill="1" applyBorder="1" applyAlignment="1">
      <alignment/>
    </xf>
    <xf numFmtId="10" fontId="0" fillId="0" borderId="11" xfId="59" applyNumberFormat="1" applyFont="1" applyFill="1" applyBorder="1" applyAlignment="1">
      <alignment/>
    </xf>
    <xf numFmtId="10" fontId="0" fillId="0" borderId="42" xfId="59" applyNumberFormat="1" applyFont="1" applyFill="1" applyBorder="1" applyAlignment="1">
      <alignment/>
    </xf>
    <xf numFmtId="10" fontId="0" fillId="0" borderId="26" xfId="59" applyNumberFormat="1" applyFont="1" applyFill="1" applyBorder="1" applyAlignment="1">
      <alignment/>
    </xf>
    <xf numFmtId="2" fontId="0" fillId="0" borderId="11" xfId="0" applyNumberFormat="1" applyFont="1" applyFill="1" applyBorder="1" applyAlignment="1">
      <alignment/>
    </xf>
    <xf numFmtId="2" fontId="0" fillId="0" borderId="42" xfId="0" applyNumberFormat="1" applyFont="1" applyFill="1" applyBorder="1" applyAlignment="1">
      <alignment/>
    </xf>
    <xf numFmtId="2" fontId="0" fillId="0" borderId="26" xfId="0" applyNumberFormat="1" applyFont="1" applyFill="1" applyBorder="1" applyAlignment="1">
      <alignment/>
    </xf>
    <xf numFmtId="3" fontId="0" fillId="0" borderId="26" xfId="0" applyNumberFormat="1" applyFont="1" applyFill="1" applyBorder="1" applyAlignment="1">
      <alignment/>
    </xf>
    <xf numFmtId="44" fontId="0" fillId="0" borderId="11" xfId="44" applyFont="1" applyFill="1" applyBorder="1" applyAlignment="1">
      <alignment horizontal="left"/>
    </xf>
    <xf numFmtId="44" fontId="0" fillId="0" borderId="42" xfId="44" applyFont="1" applyFill="1" applyBorder="1" applyAlignment="1">
      <alignment horizontal="left"/>
    </xf>
    <xf numFmtId="44" fontId="0" fillId="0" borderId="26" xfId="44" applyFont="1" applyFill="1" applyBorder="1" applyAlignment="1">
      <alignment horizontal="left"/>
    </xf>
    <xf numFmtId="9" fontId="0" fillId="0" borderId="11" xfId="0" applyNumberFormat="1" applyFont="1" applyFill="1" applyBorder="1" applyAlignment="1">
      <alignment/>
    </xf>
    <xf numFmtId="9" fontId="0" fillId="0" borderId="42" xfId="0" applyNumberFormat="1" applyFont="1" applyFill="1" applyBorder="1" applyAlignment="1">
      <alignment/>
    </xf>
    <xf numFmtId="9" fontId="0" fillId="0" borderId="26" xfId="0" applyNumberFormat="1" applyFont="1" applyFill="1" applyBorder="1" applyAlignment="1">
      <alignment/>
    </xf>
    <xf numFmtId="1" fontId="0" fillId="0" borderId="33" xfId="0" applyNumberFormat="1" applyFont="1" applyFill="1" applyBorder="1" applyAlignment="1">
      <alignment/>
    </xf>
    <xf numFmtId="1" fontId="0" fillId="0" borderId="43" xfId="0" applyNumberFormat="1" applyFont="1" applyFill="1" applyBorder="1" applyAlignment="1">
      <alignment/>
    </xf>
    <xf numFmtId="1" fontId="0" fillId="0" borderId="27" xfId="0" applyNumberFormat="1" applyFont="1" applyFill="1" applyBorder="1" applyAlignment="1">
      <alignment/>
    </xf>
    <xf numFmtId="0" fontId="0" fillId="0" borderId="27" xfId="0" applyFont="1" applyFill="1" applyBorder="1" applyAlignment="1">
      <alignment/>
    </xf>
    <xf numFmtId="0" fontId="0" fillId="0" borderId="44" xfId="0" applyFont="1" applyFill="1" applyBorder="1" applyAlignment="1">
      <alignment/>
    </xf>
    <xf numFmtId="0" fontId="13" fillId="0" borderId="23" xfId="0" applyFont="1" applyFill="1" applyBorder="1" applyAlignment="1">
      <alignment/>
    </xf>
    <xf numFmtId="0" fontId="0" fillId="0" borderId="23" xfId="0" applyFont="1" applyFill="1" applyBorder="1" applyAlignment="1">
      <alignment/>
    </xf>
    <xf numFmtId="0" fontId="0" fillId="0" borderId="45" xfId="0" applyFont="1" applyFill="1" applyBorder="1" applyAlignment="1">
      <alignment/>
    </xf>
    <xf numFmtId="9" fontId="16" fillId="0" borderId="11" xfId="0" applyNumberFormat="1" applyFont="1" applyFill="1" applyBorder="1" applyAlignment="1">
      <alignment horizontal="center"/>
    </xf>
    <xf numFmtId="0" fontId="0" fillId="0" borderId="15" xfId="0" applyFont="1" applyFill="1" applyBorder="1" applyAlignment="1">
      <alignment/>
    </xf>
    <xf numFmtId="0" fontId="0" fillId="0" borderId="13" xfId="0" applyFont="1" applyFill="1" applyBorder="1" applyAlignment="1">
      <alignment/>
    </xf>
    <xf numFmtId="0" fontId="0" fillId="0" borderId="46" xfId="0" applyFont="1" applyFill="1" applyBorder="1" applyAlignment="1">
      <alignment/>
    </xf>
    <xf numFmtId="0" fontId="0" fillId="0" borderId="26" xfId="0" applyFont="1" applyFill="1" applyBorder="1" applyAlignment="1">
      <alignment/>
    </xf>
    <xf numFmtId="0" fontId="0" fillId="0" borderId="27" xfId="0" applyFont="1" applyFill="1" applyBorder="1" applyAlignment="1">
      <alignment/>
    </xf>
    <xf numFmtId="9" fontId="16" fillId="0" borderId="33" xfId="0" applyNumberFormat="1" applyFont="1" applyFill="1" applyBorder="1" applyAlignment="1">
      <alignment horizontal="center"/>
    </xf>
    <xf numFmtId="0" fontId="0" fillId="0" borderId="0" xfId="0" applyFont="1" applyFill="1" applyAlignment="1">
      <alignment horizontal="center"/>
    </xf>
    <xf numFmtId="0" fontId="17" fillId="0" borderId="0" xfId="0" applyFont="1" applyAlignment="1">
      <alignment horizontal="right"/>
    </xf>
    <xf numFmtId="0" fontId="0" fillId="0" borderId="0" xfId="0" applyAlignment="1">
      <alignment wrapText="1"/>
    </xf>
    <xf numFmtId="14" fontId="0" fillId="0" borderId="47" xfId="0" applyNumberFormat="1" applyFont="1" applyBorder="1" applyAlignment="1">
      <alignment horizontal="left" vertical="center" wrapText="1"/>
    </xf>
    <xf numFmtId="0" fontId="0" fillId="0" borderId="48" xfId="0" applyFont="1" applyBorder="1" applyAlignment="1">
      <alignment vertical="center" wrapText="1"/>
    </xf>
    <xf numFmtId="0" fontId="0" fillId="0" borderId="48" xfId="0" applyFont="1" applyBorder="1" applyAlignment="1">
      <alignment horizontal="left" vertical="center" wrapText="1"/>
    </xf>
    <xf numFmtId="0" fontId="0" fillId="0" borderId="47" xfId="0" applyFont="1" applyBorder="1" applyAlignment="1">
      <alignment vertical="center" wrapText="1"/>
    </xf>
    <xf numFmtId="0" fontId="0" fillId="0" borderId="38" xfId="0" applyFont="1" applyBorder="1" applyAlignment="1">
      <alignment horizontal="center" vertical="center" wrapText="1"/>
    </xf>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0" fillId="0" borderId="0" xfId="0" applyFont="1" applyAlignment="1">
      <alignment vertical="center"/>
    </xf>
    <xf numFmtId="0" fontId="9" fillId="0" borderId="0" xfId="0" applyFont="1" applyAlignment="1">
      <alignment vertical="center"/>
    </xf>
    <xf numFmtId="4" fontId="10" fillId="33" borderId="0" xfId="0" applyNumberFormat="1" applyFont="1" applyFill="1" applyBorder="1" applyAlignment="1">
      <alignment horizontal="center" vertical="center"/>
    </xf>
    <xf numFmtId="4" fontId="0" fillId="0" borderId="42" xfId="0" applyNumberFormat="1" applyFont="1" applyBorder="1" applyAlignment="1">
      <alignment horizontal="center" vertical="center"/>
    </xf>
    <xf numFmtId="2" fontId="10" fillId="33" borderId="0" xfId="0" applyNumberFormat="1" applyFont="1" applyFill="1" applyBorder="1" applyAlignment="1">
      <alignment horizontal="center" vertical="center"/>
    </xf>
    <xf numFmtId="0" fontId="10" fillId="33" borderId="0" xfId="0" applyFont="1" applyFill="1" applyBorder="1" applyAlignment="1">
      <alignment horizontal="center" vertical="center" wrapText="1"/>
    </xf>
    <xf numFmtId="3" fontId="0" fillId="0" borderId="42" xfId="0" applyNumberFormat="1" applyFont="1" applyBorder="1" applyAlignment="1">
      <alignment horizontal="center" vertical="center"/>
    </xf>
    <xf numFmtId="0" fontId="1" fillId="0" borderId="0" xfId="0" applyFont="1" applyAlignment="1">
      <alignment horizontal="right" vertical="center"/>
    </xf>
    <xf numFmtId="0" fontId="0" fillId="0" borderId="37"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19" fillId="0" borderId="0" xfId="0" applyFont="1" applyBorder="1" applyAlignment="1">
      <alignment horizontal="left" vertical="center"/>
    </xf>
    <xf numFmtId="0" fontId="0" fillId="0" borderId="0" xfId="0" applyBorder="1" applyAlignment="1">
      <alignment vertical="center"/>
    </xf>
    <xf numFmtId="9" fontId="10" fillId="33" borderId="10" xfId="0" applyNumberFormat="1" applyFont="1" applyFill="1" applyBorder="1" applyAlignment="1">
      <alignment horizontal="center" vertical="center" wrapText="1"/>
    </xf>
    <xf numFmtId="9" fontId="0" fillId="0" borderId="10" xfId="0" applyNumberFormat="1" applyFont="1" applyBorder="1" applyAlignment="1">
      <alignment horizontal="center" vertical="center" wrapText="1"/>
    </xf>
    <xf numFmtId="9" fontId="0" fillId="34" borderId="37" xfId="0" applyNumberFormat="1" applyFont="1" applyFill="1" applyBorder="1" applyAlignment="1">
      <alignment horizontal="center" vertical="center"/>
    </xf>
    <xf numFmtId="9" fontId="10" fillId="33" borderId="43" xfId="0" applyNumberFormat="1" applyFont="1" applyFill="1" applyBorder="1" applyAlignment="1">
      <alignment horizontal="center" vertical="center" wrapText="1"/>
    </xf>
    <xf numFmtId="9" fontId="0" fillId="0" borderId="43" xfId="0" applyNumberFormat="1" applyFont="1" applyBorder="1" applyAlignment="1">
      <alignment horizontal="center" vertical="center" wrapText="1"/>
    </xf>
    <xf numFmtId="0" fontId="0" fillId="0" borderId="27" xfId="0" applyFont="1" applyBorder="1" applyAlignment="1">
      <alignment horizontal="center" vertical="center" wrapText="1"/>
    </xf>
    <xf numFmtId="9" fontId="0" fillId="34" borderId="27" xfId="0" applyNumberFormat="1" applyFont="1" applyFill="1" applyBorder="1" applyAlignment="1">
      <alignment horizontal="center" vertical="center"/>
    </xf>
    <xf numFmtId="0" fontId="0" fillId="0" borderId="10" xfId="0" applyFont="1" applyBorder="1" applyAlignment="1">
      <alignment horizontal="left" vertical="center"/>
    </xf>
    <xf numFmtId="0" fontId="0" fillId="0" borderId="43" xfId="0" applyFont="1" applyBorder="1" applyAlignment="1">
      <alignment horizontal="left" vertical="center"/>
    </xf>
    <xf numFmtId="0" fontId="20" fillId="0" borderId="10" xfId="0" applyFont="1" applyBorder="1" applyAlignment="1">
      <alignment horizontal="center" vertical="center" wrapText="1"/>
    </xf>
    <xf numFmtId="0" fontId="21" fillId="0" borderId="43" xfId="0" applyFont="1" applyFill="1" applyBorder="1" applyAlignment="1">
      <alignment horizontal="center" vertical="center" wrapText="1"/>
    </xf>
    <xf numFmtId="0" fontId="22" fillId="0" borderId="0" xfId="0" applyFont="1" applyAlignment="1">
      <alignment horizontal="center" vertical="center"/>
    </xf>
    <xf numFmtId="0" fontId="1" fillId="0" borderId="38" xfId="0" applyFont="1" applyBorder="1" applyAlignment="1">
      <alignment vertical="center"/>
    </xf>
    <xf numFmtId="0" fontId="0" fillId="0" borderId="0" xfId="0" applyFont="1" applyBorder="1" applyAlignment="1">
      <alignment/>
    </xf>
    <xf numFmtId="0" fontId="0" fillId="34" borderId="10" xfId="0" applyFont="1" applyFill="1" applyBorder="1" applyAlignment="1">
      <alignment horizontal="center" vertical="center"/>
    </xf>
    <xf numFmtId="0" fontId="0" fillId="34" borderId="42" xfId="0" applyFont="1" applyFill="1" applyBorder="1" applyAlignment="1">
      <alignment horizontal="center" vertical="center"/>
    </xf>
    <xf numFmtId="176" fontId="0" fillId="34" borderId="42" xfId="0" applyNumberFormat="1" applyFont="1" applyFill="1" applyBorder="1" applyAlignment="1">
      <alignment horizontal="center" vertical="center"/>
    </xf>
    <xf numFmtId="0" fontId="10" fillId="0" borderId="38" xfId="0" applyFont="1" applyBorder="1" applyAlignment="1">
      <alignment horizontal="center" vertical="center"/>
    </xf>
    <xf numFmtId="3" fontId="0" fillId="0" borderId="0" xfId="0" applyNumberFormat="1" applyFont="1" applyFill="1" applyAlignment="1">
      <alignment wrapText="1"/>
    </xf>
    <xf numFmtId="0" fontId="0" fillId="0" borderId="0" xfId="0" applyNumberFormat="1" applyFont="1" applyFill="1" applyAlignment="1">
      <alignment wrapText="1"/>
    </xf>
    <xf numFmtId="0" fontId="0" fillId="0" borderId="17" xfId="0" applyBorder="1" applyAlignment="1">
      <alignment horizontal="left" vertical="center"/>
    </xf>
    <xf numFmtId="0" fontId="1" fillId="33" borderId="36" xfId="0" applyFont="1" applyFill="1" applyBorder="1" applyAlignment="1">
      <alignment horizontal="center" vertical="center" wrapText="1"/>
    </xf>
    <xf numFmtId="0" fontId="0" fillId="0" borderId="11" xfId="0" applyBorder="1" applyAlignment="1">
      <alignment horizontal="left" vertical="center"/>
    </xf>
    <xf numFmtId="0" fontId="0" fillId="0" borderId="33" xfId="0" applyBorder="1" applyAlignment="1">
      <alignment horizontal="left" vertical="center"/>
    </xf>
    <xf numFmtId="9" fontId="10" fillId="33" borderId="15" xfId="0" applyNumberFormat="1" applyFont="1" applyFill="1" applyBorder="1" applyAlignment="1">
      <alignment horizontal="center" vertical="center" wrapText="1"/>
    </xf>
    <xf numFmtId="9" fontId="0" fillId="34" borderId="43" xfId="0" applyNumberFormat="1" applyFont="1" applyFill="1" applyBorder="1" applyAlignment="1">
      <alignment horizontal="center" vertical="center"/>
    </xf>
    <xf numFmtId="176" fontId="10" fillId="33" borderId="0" xfId="0" applyNumberFormat="1" applyFont="1" applyFill="1" applyBorder="1" applyAlignment="1">
      <alignment horizontal="center" vertical="center"/>
    </xf>
    <xf numFmtId="176" fontId="0" fillId="0" borderId="42" xfId="0" applyNumberFormat="1" applyFont="1" applyBorder="1" applyAlignment="1">
      <alignment horizontal="center" vertical="center"/>
    </xf>
    <xf numFmtId="0" fontId="17" fillId="0" borderId="0" xfId="0" applyFont="1" applyAlignment="1">
      <alignment horizontal="right" vertical="center"/>
    </xf>
    <xf numFmtId="0" fontId="1" fillId="0" borderId="0" xfId="0" applyFont="1" applyFill="1" applyBorder="1" applyAlignment="1">
      <alignment horizontal="right"/>
    </xf>
    <xf numFmtId="176" fontId="1" fillId="0" borderId="38" xfId="0" applyNumberFormat="1" applyFont="1" applyBorder="1" applyAlignment="1">
      <alignment horizontal="center"/>
    </xf>
    <xf numFmtId="176" fontId="11" fillId="35" borderId="38" xfId="0" applyNumberFormat="1" applyFont="1" applyFill="1" applyBorder="1" applyAlignment="1">
      <alignment horizontal="center" vertical="center"/>
    </xf>
    <xf numFmtId="9" fontId="24" fillId="0" borderId="22" xfId="0" applyNumberFormat="1" applyFont="1" applyFill="1" applyBorder="1" applyAlignment="1">
      <alignment horizontal="center"/>
    </xf>
    <xf numFmtId="9" fontId="10" fillId="33" borderId="0" xfId="0" applyNumberFormat="1" applyFont="1" applyFill="1" applyBorder="1" applyAlignment="1">
      <alignment horizontal="center" vertical="center" wrapText="1"/>
    </xf>
    <xf numFmtId="9" fontId="0" fillId="0" borderId="42" xfId="0" applyNumberFormat="1" applyFont="1" applyBorder="1" applyAlignment="1">
      <alignment horizontal="center" vertical="center"/>
    </xf>
    <xf numFmtId="9" fontId="0" fillId="34" borderId="42" xfId="0" applyNumberFormat="1" applyFont="1" applyFill="1" applyBorder="1" applyAlignment="1">
      <alignment horizontal="center" vertical="center"/>
    </xf>
    <xf numFmtId="49" fontId="0" fillId="0" borderId="42" xfId="0" applyNumberFormat="1" applyFont="1" applyBorder="1" applyAlignment="1">
      <alignment horizontal="center" vertical="center"/>
    </xf>
    <xf numFmtId="0" fontId="0" fillId="0" borderId="42" xfId="0" applyFont="1" applyBorder="1" applyAlignment="1">
      <alignment horizontal="center" vertical="center"/>
    </xf>
    <xf numFmtId="9" fontId="0" fillId="0" borderId="42" xfId="0" applyNumberFormat="1" applyFont="1" applyBorder="1" applyAlignment="1">
      <alignment horizontal="center" vertical="center" wrapText="1"/>
    </xf>
    <xf numFmtId="9" fontId="0" fillId="0" borderId="43" xfId="0" applyNumberFormat="1" applyFont="1" applyBorder="1" applyAlignment="1">
      <alignment horizontal="center" vertical="center" wrapText="1"/>
    </xf>
    <xf numFmtId="0" fontId="0" fillId="0" borderId="42" xfId="0" applyFont="1" applyBorder="1" applyAlignment="1">
      <alignment horizontal="center" vertical="center" wrapText="1"/>
    </xf>
    <xf numFmtId="0" fontId="0" fillId="0" borderId="43" xfId="0" applyFont="1" applyBorder="1" applyAlignment="1">
      <alignment horizontal="center" vertical="center" wrapText="1"/>
    </xf>
    <xf numFmtId="0" fontId="16" fillId="0" borderId="42" xfId="53" applyFont="1" applyBorder="1" applyAlignment="1" applyProtection="1">
      <alignment vertical="center"/>
      <protection/>
    </xf>
    <xf numFmtId="0" fontId="16" fillId="0" borderId="43" xfId="53" applyFont="1" applyBorder="1" applyAlignment="1" applyProtection="1">
      <alignment vertical="center"/>
      <protection/>
    </xf>
    <xf numFmtId="0" fontId="0" fillId="0" borderId="11" xfId="0" applyFont="1" applyBorder="1" applyAlignment="1">
      <alignment vertical="center"/>
    </xf>
    <xf numFmtId="0" fontId="0" fillId="0" borderId="26" xfId="0" applyFont="1" applyFill="1" applyBorder="1" applyAlignment="1">
      <alignment vertical="center"/>
    </xf>
    <xf numFmtId="0" fontId="0" fillId="0" borderId="0" xfId="0" applyFont="1" applyFill="1" applyBorder="1" applyAlignment="1">
      <alignment horizontal="left" vertical="center" wrapText="1"/>
    </xf>
    <xf numFmtId="0" fontId="0" fillId="0" borderId="0" xfId="0" applyFill="1" applyBorder="1" applyAlignment="1">
      <alignment horizontal="left" vertical="center"/>
    </xf>
    <xf numFmtId="9" fontId="10" fillId="0" borderId="0" xfId="0" applyNumberFormat="1" applyFont="1" applyFill="1" applyBorder="1" applyAlignment="1">
      <alignment horizontal="center" vertical="center" wrapText="1"/>
    </xf>
    <xf numFmtId="9"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9" fontId="0" fillId="0" borderId="0" xfId="0" applyNumberFormat="1" applyFont="1" applyFill="1" applyBorder="1" applyAlignment="1">
      <alignment horizontal="center" vertical="center"/>
    </xf>
    <xf numFmtId="0" fontId="0" fillId="0" borderId="0" xfId="0" applyFont="1" applyFill="1" applyBorder="1" applyAlignment="1">
      <alignment horizontal="right"/>
    </xf>
    <xf numFmtId="9" fontId="16" fillId="0" borderId="11" xfId="0" applyNumberFormat="1" applyFont="1" applyFill="1" applyBorder="1" applyAlignment="1">
      <alignment/>
    </xf>
    <xf numFmtId="44" fontId="0" fillId="0" borderId="0" xfId="0" applyNumberFormat="1" applyFont="1" applyFill="1" applyBorder="1" applyAlignment="1">
      <alignment/>
    </xf>
    <xf numFmtId="0" fontId="1" fillId="0" borderId="0" xfId="0" applyFont="1" applyFill="1" applyBorder="1" applyAlignment="1">
      <alignment/>
    </xf>
    <xf numFmtId="44" fontId="0" fillId="0" borderId="0" xfId="44" applyFont="1" applyFill="1" applyBorder="1" applyAlignment="1">
      <alignment/>
    </xf>
    <xf numFmtId="9" fontId="16" fillId="0" borderId="0" xfId="0" applyNumberFormat="1" applyFont="1" applyFill="1" applyBorder="1" applyAlignment="1">
      <alignment/>
    </xf>
    <xf numFmtId="42" fontId="0" fillId="0" borderId="40" xfId="0" applyNumberFormat="1" applyFont="1" applyFill="1" applyBorder="1" applyAlignment="1">
      <alignment/>
    </xf>
    <xf numFmtId="0" fontId="7" fillId="0" borderId="0" xfId="0" applyFont="1" applyAlignment="1">
      <alignment vertical="center" wrapText="1"/>
    </xf>
    <xf numFmtId="0" fontId="0" fillId="0" borderId="0" xfId="0" applyAlignment="1">
      <alignment vertical="center" wrapText="1"/>
    </xf>
    <xf numFmtId="0" fontId="9" fillId="0" borderId="0" xfId="0" applyFont="1" applyAlignment="1">
      <alignment vertical="center" wrapText="1"/>
    </xf>
    <xf numFmtId="0" fontId="0" fillId="0" borderId="0" xfId="0" applyNumberFormat="1" applyAlignment="1">
      <alignment vertical="center" wrapText="1"/>
    </xf>
    <xf numFmtId="0" fontId="1" fillId="0" borderId="0" xfId="0" applyFont="1" applyAlignment="1">
      <alignment vertical="center" wrapText="1"/>
    </xf>
    <xf numFmtId="0" fontId="0" fillId="0" borderId="0" xfId="0" applyFont="1" applyAlignment="1">
      <alignment vertical="center" wrapText="1"/>
    </xf>
    <xf numFmtId="0" fontId="17" fillId="0" borderId="0" xfId="0" applyFont="1" applyAlignment="1">
      <alignment horizontal="right"/>
    </xf>
    <xf numFmtId="2" fontId="0" fillId="0" borderId="42" xfId="0" applyNumberFormat="1" applyFont="1" applyBorder="1" applyAlignment="1">
      <alignment horizontal="center" vertical="center"/>
    </xf>
    <xf numFmtId="2" fontId="0" fillId="34" borderId="42" xfId="0" applyNumberFormat="1" applyFont="1" applyFill="1" applyBorder="1" applyAlignment="1">
      <alignment horizontal="center" vertical="center"/>
    </xf>
    <xf numFmtId="0" fontId="9" fillId="0" borderId="0" xfId="0" applyFont="1" applyAlignment="1">
      <alignment horizontal="center"/>
    </xf>
    <xf numFmtId="0" fontId="0" fillId="0" borderId="0" xfId="0" applyFont="1" applyBorder="1" applyAlignment="1">
      <alignment vertical="center" wrapText="1"/>
    </xf>
    <xf numFmtId="0" fontId="0" fillId="0" borderId="0" xfId="0" applyFont="1" applyBorder="1" applyAlignment="1">
      <alignment horizontal="left" vertical="center" wrapText="1"/>
    </xf>
    <xf numFmtId="0" fontId="2" fillId="0" borderId="0" xfId="53" applyBorder="1" applyAlignment="1" applyProtection="1">
      <alignment vertical="center" wrapText="1"/>
      <protection/>
    </xf>
    <xf numFmtId="0" fontId="2" fillId="0" borderId="0" xfId="53" applyBorder="1" applyAlignment="1" applyProtection="1">
      <alignment vertical="center"/>
      <protection/>
    </xf>
    <xf numFmtId="0" fontId="0" fillId="0" borderId="0" xfId="0" applyBorder="1" applyAlignment="1">
      <alignment/>
    </xf>
    <xf numFmtId="0" fontId="0" fillId="0" borderId="0" xfId="0" applyFont="1" applyFill="1" applyBorder="1" applyAlignment="1">
      <alignment vertical="center" wrapText="1"/>
    </xf>
    <xf numFmtId="0" fontId="0" fillId="0" borderId="49" xfId="0" applyFont="1" applyBorder="1" applyAlignment="1">
      <alignment horizontal="left" vertical="center" wrapText="1"/>
    </xf>
    <xf numFmtId="0" fontId="1" fillId="0" borderId="50" xfId="0" applyFont="1" applyBorder="1" applyAlignment="1">
      <alignment vertical="center" wrapText="1"/>
    </xf>
    <xf numFmtId="0" fontId="1" fillId="0" borderId="51" xfId="0" applyFont="1" applyBorder="1" applyAlignment="1">
      <alignment horizontal="left" vertical="center" wrapText="1"/>
    </xf>
    <xf numFmtId="0" fontId="1" fillId="0" borderId="52" xfId="0" applyFont="1" applyBorder="1" applyAlignment="1">
      <alignment vertical="center" wrapText="1"/>
    </xf>
    <xf numFmtId="0" fontId="1" fillId="0" borderId="53" xfId="0" applyFont="1" applyBorder="1" applyAlignment="1">
      <alignment vertical="center" wrapText="1"/>
    </xf>
    <xf numFmtId="0" fontId="1" fillId="0" borderId="54" xfId="0" applyFont="1" applyBorder="1" applyAlignment="1">
      <alignment vertical="center" wrapText="1"/>
    </xf>
    <xf numFmtId="0" fontId="1" fillId="0" borderId="55" xfId="0" applyFont="1" applyBorder="1" applyAlignment="1">
      <alignment vertical="center" wrapText="1"/>
    </xf>
    <xf numFmtId="0" fontId="1" fillId="0" borderId="0" xfId="0" applyFont="1" applyFill="1" applyBorder="1" applyAlignment="1">
      <alignment vertical="center" wrapText="1"/>
    </xf>
    <xf numFmtId="0" fontId="67" fillId="0" borderId="0" xfId="0" applyFont="1" applyAlignment="1">
      <alignment/>
    </xf>
    <xf numFmtId="0" fontId="7" fillId="0" borderId="0" xfId="0" applyFont="1" applyAlignment="1">
      <alignment horizontal="center" vertical="center"/>
    </xf>
    <xf numFmtId="0" fontId="1" fillId="0" borderId="53" xfId="0" applyFont="1" applyBorder="1" applyAlignment="1">
      <alignment vertical="center" wrapText="1"/>
    </xf>
    <xf numFmtId="0" fontId="0" fillId="0" borderId="0" xfId="0" applyFont="1" applyBorder="1" applyAlignment="1">
      <alignment horizontal="left" vertical="center" wrapText="1"/>
    </xf>
    <xf numFmtId="0" fontId="2" fillId="0" borderId="0" xfId="53" applyFill="1" applyBorder="1" applyAlignment="1" applyProtection="1">
      <alignment horizontal="left" vertical="center" wrapText="1"/>
      <protection/>
    </xf>
    <xf numFmtId="0" fontId="2" fillId="0" borderId="0" xfId="53" applyBorder="1" applyAlignment="1" applyProtection="1">
      <alignment horizontal="left" vertical="center"/>
      <protection/>
    </xf>
    <xf numFmtId="0" fontId="0" fillId="0" borderId="0" xfId="0" applyAlignment="1">
      <alignment horizontal="left" wrapText="1"/>
    </xf>
    <xf numFmtId="0" fontId="0" fillId="0" borderId="17" xfId="0" applyBorder="1" applyAlignment="1">
      <alignment horizontal="left" vertical="center" wrapText="1"/>
    </xf>
    <xf numFmtId="0" fontId="0" fillId="0" borderId="37" xfId="0" applyBorder="1" applyAlignment="1">
      <alignment horizontal="left" vertical="center" wrapText="1"/>
    </xf>
    <xf numFmtId="0" fontId="0" fillId="0" borderId="33" xfId="0" applyBorder="1" applyAlignment="1">
      <alignment horizontal="left" vertical="center" wrapText="1"/>
    </xf>
    <xf numFmtId="0" fontId="0" fillId="0" borderId="27" xfId="0" applyBorder="1" applyAlignment="1">
      <alignment horizontal="left" vertical="center" wrapText="1"/>
    </xf>
    <xf numFmtId="0" fontId="0" fillId="0" borderId="11" xfId="0" applyFont="1" applyFill="1" applyBorder="1" applyAlignment="1">
      <alignment horizontal="left" vertical="center"/>
    </xf>
    <xf numFmtId="0" fontId="0" fillId="0" borderId="26" xfId="0" applyFont="1" applyFill="1" applyBorder="1" applyAlignment="1">
      <alignment horizontal="left" vertical="center"/>
    </xf>
    <xf numFmtId="0" fontId="0" fillId="0" borderId="11"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0" fillId="0" borderId="17" xfId="0" applyFont="1" applyBorder="1" applyAlignment="1">
      <alignment horizontal="left" wrapText="1"/>
    </xf>
    <xf numFmtId="0" fontId="0" fillId="0" borderId="37" xfId="0" applyFont="1" applyBorder="1" applyAlignment="1">
      <alignment horizontal="left" wrapText="1"/>
    </xf>
    <xf numFmtId="0" fontId="0" fillId="0" borderId="33"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1" fillId="0" borderId="0" xfId="0" applyFont="1" applyFill="1" applyAlignment="1">
      <alignment horizontal="left" vertical="center" wrapText="1"/>
    </xf>
    <xf numFmtId="0" fontId="19" fillId="0" borderId="21" xfId="0" applyFont="1" applyBorder="1" applyAlignment="1">
      <alignment horizontal="left" vertical="center"/>
    </xf>
    <xf numFmtId="0" fontId="19" fillId="0" borderId="38" xfId="0" applyFont="1" applyBorder="1" applyAlignment="1">
      <alignment horizontal="left" vertical="center"/>
    </xf>
    <xf numFmtId="0" fontId="19" fillId="0" borderId="38" xfId="0" applyFont="1" applyBorder="1" applyAlignment="1">
      <alignment horizontal="center" vertical="center" wrapText="1"/>
    </xf>
    <xf numFmtId="0" fontId="19" fillId="0" borderId="38" xfId="0" applyFont="1" applyBorder="1" applyAlignment="1">
      <alignment horizontal="center" vertical="center"/>
    </xf>
    <xf numFmtId="0" fontId="0" fillId="0" borderId="31" xfId="0" applyFont="1" applyFill="1" applyBorder="1" applyAlignment="1">
      <alignment horizontal="center"/>
    </xf>
    <xf numFmtId="0" fontId="0" fillId="0" borderId="32" xfId="0" applyFont="1" applyFill="1" applyBorder="1" applyAlignment="1">
      <alignment horizontal="center"/>
    </xf>
    <xf numFmtId="0" fontId="0" fillId="0" borderId="56" xfId="0" applyFont="1" applyFill="1" applyBorder="1" applyAlignment="1">
      <alignment horizontal="center"/>
    </xf>
    <xf numFmtId="0" fontId="0" fillId="0" borderId="39" xfId="0" applyFont="1" applyFill="1" applyBorder="1" applyAlignment="1">
      <alignment horizontal="center"/>
    </xf>
    <xf numFmtId="0" fontId="0" fillId="0" borderId="40" xfId="0" applyFont="1" applyFill="1" applyBorder="1" applyAlignment="1">
      <alignment horizontal="center"/>
    </xf>
    <xf numFmtId="0" fontId="0" fillId="0" borderId="4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6">
    <dxf>
      <font>
        <color indexed="10"/>
      </font>
    </dxf>
    <dxf>
      <font>
        <color indexed="9"/>
      </font>
      <fill>
        <patternFill patternType="none">
          <bgColor indexed="65"/>
        </patternFill>
      </fill>
    </dxf>
    <dxf>
      <font>
        <color indexed="10"/>
      </font>
    </dxf>
    <dxf>
      <font>
        <color indexed="9"/>
      </font>
      <fill>
        <patternFill patternType="none">
          <bgColor indexed="65"/>
        </patternFill>
      </fill>
    </dxf>
    <dxf>
      <font>
        <color indexed="10"/>
      </font>
    </dxf>
    <dxf>
      <font>
        <color indexed="9"/>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Undiscounted Annual Net Benefits of Agribusiness Development Activity</a:t>
            </a:r>
          </a:p>
        </c:rich>
      </c:tx>
      <c:layout>
        <c:manualLayout>
          <c:xMode val="factor"/>
          <c:yMode val="factor"/>
          <c:x val="0.00125"/>
          <c:y val="0"/>
        </c:manualLayout>
      </c:layout>
      <c:spPr>
        <a:noFill/>
        <a:ln>
          <a:noFill/>
        </a:ln>
      </c:spPr>
    </c:title>
    <c:plotArea>
      <c:layout>
        <c:manualLayout>
          <c:xMode val="edge"/>
          <c:yMode val="edge"/>
          <c:x val="0.0425"/>
          <c:y val="0.13375"/>
          <c:w val="0.94525"/>
          <c:h val="0.7835"/>
        </c:manualLayout>
      </c:layout>
      <c:areaChart>
        <c:grouping val="standard"/>
        <c:varyColors val="0"/>
        <c:ser>
          <c:idx val="0"/>
          <c:order val="0"/>
          <c:spPr>
            <a:solidFill>
              <a:srgbClr val="0066CC"/>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val>
            <c:numRef>
              <c:f>ERR!$D$54:$M$54</c:f>
              <c:numCache>
                <c:ptCount val="10"/>
                <c:pt idx="0">
                  <c:v>-3209536.996080675</c:v>
                </c:pt>
                <c:pt idx="1">
                  <c:v>-3726955.034715698</c:v>
                </c:pt>
                <c:pt idx="2">
                  <c:v>-3411121.3633782044</c:v>
                </c:pt>
                <c:pt idx="3">
                  <c:v>-732926.0912950523</c:v>
                </c:pt>
                <c:pt idx="4">
                  <c:v>1818456.904578005</c:v>
                </c:pt>
                <c:pt idx="5">
                  <c:v>5286312.5957502145</c:v>
                </c:pt>
                <c:pt idx="6">
                  <c:v>4533051.613468411</c:v>
                </c:pt>
                <c:pt idx="7">
                  <c:v>4533051.613468411</c:v>
                </c:pt>
                <c:pt idx="8">
                  <c:v>1599077.6502221862</c:v>
                </c:pt>
                <c:pt idx="9">
                  <c:v>1599077.6502221862</c:v>
                </c:pt>
              </c:numCache>
            </c:numRef>
          </c:val>
        </c:ser>
        <c:axId val="34189684"/>
        <c:axId val="39271701"/>
      </c:areaChart>
      <c:catAx>
        <c:axId val="34189684"/>
        <c:scaling>
          <c:orientation val="minMax"/>
        </c:scaling>
        <c:axPos val="b"/>
        <c:title>
          <c:tx>
            <c:rich>
              <a:bodyPr vert="horz" rot="0" anchor="ctr"/>
              <a:lstStyle/>
              <a:p>
                <a:pPr algn="ctr">
                  <a:defRPr/>
                </a:pPr>
                <a:r>
                  <a:rPr lang="en-US" cap="none" sz="975" b="1" i="0" u="none" baseline="0">
                    <a:solidFill>
                      <a:srgbClr val="000000"/>
                    </a:solidFill>
                    <a:latin typeface="Arial"/>
                    <a:ea typeface="Arial"/>
                    <a:cs typeface="Arial"/>
                  </a:rPr>
                  <a:t>Year</a:t>
                </a:r>
              </a:p>
            </c:rich>
          </c:tx>
          <c:layout>
            <c:manualLayout>
              <c:xMode val="factor"/>
              <c:yMode val="factor"/>
              <c:x val="0.004"/>
              <c:y val="0.00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39271701"/>
        <c:crosses val="autoZero"/>
        <c:auto val="1"/>
        <c:lblOffset val="100"/>
        <c:tickLblSkip val="1"/>
        <c:noMultiLvlLbl val="0"/>
      </c:catAx>
      <c:valAx>
        <c:axId val="39271701"/>
        <c:scaling>
          <c:orientation val="minMax"/>
        </c:scaling>
        <c:axPos val="l"/>
        <c:title>
          <c:tx>
            <c:rich>
              <a:bodyPr vert="horz" rot="-5400000" anchor="ctr"/>
              <a:lstStyle/>
              <a:p>
                <a:pPr algn="ctr">
                  <a:defRPr/>
                </a:pPr>
                <a:r>
                  <a:rPr lang="en-US" cap="none" sz="975" b="1" i="0" u="none" baseline="0">
                    <a:solidFill>
                      <a:srgbClr val="000000"/>
                    </a:solidFill>
                    <a:latin typeface="Arial"/>
                    <a:ea typeface="Arial"/>
                    <a:cs typeface="Arial"/>
                  </a:rPr>
                  <a:t>US$</a:t>
                </a:r>
              </a:p>
            </c:rich>
          </c:tx>
          <c:layout>
            <c:manualLayout>
              <c:xMode val="factor"/>
              <c:yMode val="factor"/>
              <c:x val="-0.03225"/>
              <c:y val="-0.0017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34189684"/>
        <c:crossesAt val="1"/>
        <c:crossBetween val="midCat"/>
        <c:dispUnits/>
        <c:majorUnit val="2000000"/>
      </c:valAx>
      <c:spPr>
        <a:solidFill>
          <a:srgbClr val="C0C0C0"/>
        </a:solidFill>
        <a:ln w="12700">
          <a:solidFill>
            <a:srgbClr val="808080"/>
          </a:solidFill>
        </a:ln>
      </c:spPr>
    </c:plotArea>
    <c:plotVisOnly val="1"/>
    <c:dispBlanksAs val="zero"/>
    <c:showDLblsOverMax val="0"/>
  </c:chart>
  <c:spPr>
    <a:solidFill>
      <a:srgbClr val="FFFFFF"/>
    </a:solidFill>
    <a:ln w="3175">
      <a:solidFill>
        <a:srgbClr val="000000"/>
      </a:solidFill>
    </a:ln>
  </c:spPr>
  <c:txPr>
    <a:bodyPr vert="horz" rot="0"/>
    <a:lstStyle/>
    <a:p>
      <a:pPr>
        <a:defRPr lang="en-US" cap="none" sz="9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Distribution of ERR Given Uncertainty in Key Parameters </a:t>
            </a:r>
            <a:r>
              <a:rPr lang="en-US" cap="none" sz="1000" b="1"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(as of 7/7/2005)</a:t>
            </a:r>
          </a:p>
        </c:rich>
      </c:tx>
      <c:layout>
        <c:manualLayout>
          <c:xMode val="factor"/>
          <c:yMode val="factor"/>
          <c:x val="0.0025"/>
          <c:y val="0"/>
        </c:manualLayout>
      </c:layout>
      <c:spPr>
        <a:noFill/>
        <a:ln>
          <a:noFill/>
        </a:ln>
      </c:spPr>
    </c:title>
    <c:plotArea>
      <c:layout>
        <c:manualLayout>
          <c:xMode val="edge"/>
          <c:yMode val="edge"/>
          <c:x val="0.039"/>
          <c:y val="0.1305"/>
          <c:w val="0.94875"/>
          <c:h val="0.84225"/>
        </c:manualLayout>
      </c:layout>
      <c:barChart>
        <c:barDir val="col"/>
        <c:grouping val="stacked"/>
        <c:varyColors val="0"/>
        <c:ser>
          <c:idx val="0"/>
          <c:order val="0"/>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50"/>
              <c:pt idx="0">
                <c:v>-0.09723173219006864</c:v>
              </c:pt>
              <c:pt idx="10">
                <c:v>-0.025415098197853765</c:v>
              </c:pt>
              <c:pt idx="20">
                <c:v>0.04640153579436111</c:v>
              </c:pt>
              <c:pt idx="30">
                <c:v>0.118218169786576</c:v>
              </c:pt>
              <c:pt idx="40">
                <c:v>0.19003480377879087</c:v>
              </c:pt>
              <c:pt idx="49">
                <c:v>0.2546697743717843</c:v>
              </c:pt>
            </c:strLit>
          </c:cat>
          <c:val>
            <c:numLit>
              <c:ptCount val="50"/>
              <c:pt idx="0">
                <c:v>28</c:v>
              </c:pt>
              <c:pt idx="1">
                <c:v>20</c:v>
              </c:pt>
              <c:pt idx="2">
                <c:v>48</c:v>
              </c:pt>
              <c:pt idx="3">
                <c:v>47</c:v>
              </c:pt>
              <c:pt idx="4">
                <c:v>62</c:v>
              </c:pt>
              <c:pt idx="5">
                <c:v>69</c:v>
              </c:pt>
              <c:pt idx="6">
                <c:v>80</c:v>
              </c:pt>
              <c:pt idx="7">
                <c:v>102</c:v>
              </c:pt>
              <c:pt idx="8">
                <c:v>104</c:v>
              </c:pt>
              <c:pt idx="9">
                <c:v>135</c:v>
              </c:pt>
              <c:pt idx="10">
                <c:v>122</c:v>
              </c:pt>
              <c:pt idx="11">
                <c:v>135</c:v>
              </c:pt>
              <c:pt idx="12">
                <c:v>156</c:v>
              </c:pt>
              <c:pt idx="13">
                <c:v>184</c:v>
              </c:pt>
              <c:pt idx="14">
                <c:v>204</c:v>
              </c:pt>
              <c:pt idx="15">
                <c:v>219</c:v>
              </c:pt>
              <c:pt idx="16">
                <c:v>248</c:v>
              </c:pt>
              <c:pt idx="17">
                <c:v>274</c:v>
              </c:pt>
              <c:pt idx="18">
                <c:v>271</c:v>
              </c:pt>
              <c:pt idx="19">
                <c:v>297</c:v>
              </c:pt>
              <c:pt idx="20">
                <c:v>334</c:v>
              </c:pt>
              <c:pt idx="21">
                <c:v>324</c:v>
              </c:pt>
              <c:pt idx="22">
                <c:v>354</c:v>
              </c:pt>
              <c:pt idx="23">
                <c:v>346</c:v>
              </c:pt>
              <c:pt idx="24">
                <c:v>369</c:v>
              </c:pt>
              <c:pt idx="25">
                <c:v>375</c:v>
              </c:pt>
              <c:pt idx="26">
                <c:v>435</c:v>
              </c:pt>
              <c:pt idx="27">
                <c:v>385</c:v>
              </c:pt>
              <c:pt idx="28">
                <c:v>342</c:v>
              </c:pt>
              <c:pt idx="29">
                <c:v>332</c:v>
              </c:pt>
              <c:pt idx="30">
                <c:v>315</c:v>
              </c:pt>
              <c:pt idx="31">
                <c:v>316</c:v>
              </c:pt>
              <c:pt idx="32">
                <c:v>318</c:v>
              </c:pt>
              <c:pt idx="33">
                <c:v>257</c:v>
              </c:pt>
              <c:pt idx="34">
                <c:v>213</c:v>
              </c:pt>
              <c:pt idx="35">
                <c:v>217</c:v>
              </c:pt>
              <c:pt idx="36">
                <c:v>177</c:v>
              </c:pt>
              <c:pt idx="37">
                <c:v>184</c:v>
              </c:pt>
              <c:pt idx="38">
                <c:v>140</c:v>
              </c:pt>
              <c:pt idx="39">
                <c:v>96</c:v>
              </c:pt>
              <c:pt idx="40">
                <c:v>89</c:v>
              </c:pt>
              <c:pt idx="41">
                <c:v>70</c:v>
              </c:pt>
              <c:pt idx="42">
                <c:v>47</c:v>
              </c:pt>
              <c:pt idx="43">
                <c:v>27</c:v>
              </c:pt>
              <c:pt idx="44">
                <c:v>25</c:v>
              </c:pt>
              <c:pt idx="45">
                <c:v>16</c:v>
              </c:pt>
              <c:pt idx="46">
                <c:v>15</c:v>
              </c:pt>
              <c:pt idx="47">
                <c:v>3</c:v>
              </c:pt>
              <c:pt idx="48">
                <c:v>2</c:v>
              </c:pt>
              <c:pt idx="49">
                <c:v>1</c:v>
              </c:pt>
            </c:numLit>
          </c:val>
        </c:ser>
        <c:overlap val="100"/>
        <c:gapWidth val="10"/>
        <c:axId val="17900990"/>
        <c:axId val="26891183"/>
      </c:barChart>
      <c:catAx>
        <c:axId val="17900990"/>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6891183"/>
        <c:crosses val="autoZero"/>
        <c:auto val="0"/>
        <c:lblOffset val="100"/>
        <c:tickLblSkip val="1"/>
        <c:tickMarkSkip val="5"/>
        <c:noMultiLvlLbl val="0"/>
      </c:catAx>
      <c:valAx>
        <c:axId val="26891183"/>
        <c:scaling>
          <c:orientation val="minMax"/>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Frequency</a:t>
                </a:r>
              </a:p>
            </c:rich>
          </c:tx>
          <c:layout>
            <c:manualLayout>
              <c:xMode val="factor"/>
              <c:yMode val="factor"/>
              <c:x val="-0.0015"/>
              <c:y val="0.001"/>
            </c:manualLayout>
          </c:layout>
          <c:overlay val="0"/>
          <c:spPr>
            <a:noFill/>
            <a:ln>
              <a:noFill/>
            </a:ln>
          </c:spPr>
        </c:title>
        <c:majorGridlines>
          <c:spPr>
            <a:ln w="3175">
              <a:solidFill>
                <a:srgbClr val="0000FF"/>
              </a:solidFill>
              <a:prstDash val="sysDot"/>
            </a:ln>
          </c:spPr>
        </c:majorGridlines>
        <c:delete val="0"/>
        <c:numFmt formatCode="General" sourceLinked="1"/>
        <c:majorTickMark val="out"/>
        <c:minorTickMark val="none"/>
        <c:tickLblPos val="nextTo"/>
        <c:spPr>
          <a:ln w="3175">
            <a:solidFill>
              <a:srgbClr val="000000"/>
            </a:solidFill>
          </a:ln>
        </c:spPr>
        <c:crossAx val="17900990"/>
        <c:crossesAt val="1"/>
        <c:crossBetween val="between"/>
        <c:dispUnits/>
      </c:valAx>
      <c:spPr>
        <a:solidFill>
          <a:srgbClr val="FFFFFF"/>
        </a:solidFill>
        <a:ln w="3175">
          <a:solidFill>
            <a:srgbClr val="000000"/>
          </a:solidFill>
        </a:ln>
      </c:spPr>
    </c:plotArea>
    <c:plotVisOnly val="1"/>
    <c:dispBlanksAs val="gap"/>
    <c:showDLblsOverMax val="0"/>
  </c:chart>
  <c:spPr>
    <a:noFill/>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2.png" /><Relationship Id="rId3" Type="http://schemas.openxmlformats.org/officeDocument/2006/relationships/chart" Target="/xl/charts/chart1.xml" /><Relationship Id="rId4"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0</xdr:rowOff>
    </xdr:from>
    <xdr:to>
      <xdr:col>1</xdr:col>
      <xdr:colOff>2628900</xdr:colOff>
      <xdr:row>5</xdr:row>
      <xdr:rowOff>142875</xdr:rowOff>
    </xdr:to>
    <xdr:pic>
      <xdr:nvPicPr>
        <xdr:cNvPr id="1" name="Picture 1"/>
        <xdr:cNvPicPr preferRelativeResize="1">
          <a:picLocks noChangeAspect="1"/>
        </xdr:cNvPicPr>
      </xdr:nvPicPr>
      <xdr:blipFill>
        <a:blip r:embed="rId1"/>
        <a:stretch>
          <a:fillRect/>
        </a:stretch>
      </xdr:blipFill>
      <xdr:spPr>
        <a:xfrm>
          <a:off x="628650" y="161925"/>
          <a:ext cx="2609850"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26</xdr:row>
      <xdr:rowOff>19050</xdr:rowOff>
    </xdr:from>
    <xdr:to>
      <xdr:col>1</xdr:col>
      <xdr:colOff>2190750</xdr:colOff>
      <xdr:row>27</xdr:row>
      <xdr:rowOff>9525</xdr:rowOff>
    </xdr:to>
    <xdr:pic>
      <xdr:nvPicPr>
        <xdr:cNvPr id="1" name="Picture 1" descr="MCC horizontal"/>
        <xdr:cNvPicPr preferRelativeResize="1">
          <a:picLocks noChangeAspect="1"/>
        </xdr:cNvPicPr>
      </xdr:nvPicPr>
      <xdr:blipFill>
        <a:blip r:embed="rId1"/>
        <a:stretch>
          <a:fillRect/>
        </a:stretch>
      </xdr:blipFill>
      <xdr:spPr>
        <a:xfrm>
          <a:off x="409575" y="7877175"/>
          <a:ext cx="2162175" cy="152400"/>
        </a:xfrm>
        <a:prstGeom prst="rect">
          <a:avLst/>
        </a:prstGeom>
        <a:noFill/>
        <a:ln w="9525" cmpd="sng">
          <a:noFill/>
        </a:ln>
      </xdr:spPr>
    </xdr:pic>
    <xdr:clientData/>
  </xdr:twoCellAnchor>
  <xdr:twoCellAnchor editAs="oneCell">
    <xdr:from>
      <xdr:col>1</xdr:col>
      <xdr:colOff>28575</xdr:colOff>
      <xdr:row>0</xdr:row>
      <xdr:rowOff>19050</xdr:rowOff>
    </xdr:from>
    <xdr:to>
      <xdr:col>1</xdr:col>
      <xdr:colOff>2190750</xdr:colOff>
      <xdr:row>1</xdr:row>
      <xdr:rowOff>9525</xdr:rowOff>
    </xdr:to>
    <xdr:pic>
      <xdr:nvPicPr>
        <xdr:cNvPr id="2" name="Picture 2" descr="MCC horizontal"/>
        <xdr:cNvPicPr preferRelativeResize="1">
          <a:picLocks noChangeAspect="1"/>
        </xdr:cNvPicPr>
      </xdr:nvPicPr>
      <xdr:blipFill>
        <a:blip r:embed="rId1"/>
        <a:stretch>
          <a:fillRect/>
        </a:stretch>
      </xdr:blipFill>
      <xdr:spPr>
        <a:xfrm>
          <a:off x="409575" y="19050"/>
          <a:ext cx="2162175" cy="1524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9525</xdr:colOff>
      <xdr:row>0</xdr:row>
      <xdr:rowOff>9525</xdr:rowOff>
    </xdr:to>
    <xdr:pic>
      <xdr:nvPicPr>
        <xdr:cNvPr id="1" name="CB_Block_7.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2" name="CB_00000000000000000000000000000001"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3" name="CB_00000000000000000000000000000003"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4" name="CB_0000000000000000000000000000000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0</xdr:col>
      <xdr:colOff>0</xdr:colOff>
      <xdr:row>0</xdr:row>
      <xdr:rowOff>0</xdr:rowOff>
    </xdr:from>
    <xdr:to>
      <xdr:col>0</xdr:col>
      <xdr:colOff>9525</xdr:colOff>
      <xdr:row>0</xdr:row>
      <xdr:rowOff>9525</xdr:rowOff>
    </xdr:to>
    <xdr:pic>
      <xdr:nvPicPr>
        <xdr:cNvPr id="5" name="CB_Block_0" hidden="1"/>
        <xdr:cNvPicPr preferRelativeResize="1">
          <a:picLocks noChangeAspect="1"/>
        </xdr:cNvPicPr>
      </xdr:nvPicPr>
      <xdr:blipFill>
        <a:blip r:embed="rId1"/>
        <a:stretch>
          <a:fillRect/>
        </a:stretch>
      </xdr:blipFill>
      <xdr:spPr>
        <a:xfrm>
          <a:off x="0" y="0"/>
          <a:ext cx="9525" cy="9525"/>
        </a:xfrm>
        <a:prstGeom prst="rect">
          <a:avLst/>
        </a:prstGeom>
        <a:noFill/>
        <a:ln w="9525" cmpd="sng">
          <a:noFill/>
        </a:ln>
      </xdr:spPr>
    </xdr:pic>
    <xdr:clientData/>
  </xdr:twoCellAnchor>
  <xdr:twoCellAnchor editAs="oneCell">
    <xdr:from>
      <xdr:col>5</xdr:col>
      <xdr:colOff>609600</xdr:colOff>
      <xdr:row>1</xdr:row>
      <xdr:rowOff>152400</xdr:rowOff>
    </xdr:from>
    <xdr:to>
      <xdr:col>8</xdr:col>
      <xdr:colOff>0</xdr:colOff>
      <xdr:row>2</xdr:row>
      <xdr:rowOff>9525</xdr:rowOff>
    </xdr:to>
    <xdr:pic>
      <xdr:nvPicPr>
        <xdr:cNvPr id="6" name="Picture 2" descr="MCC horizontal"/>
        <xdr:cNvPicPr preferRelativeResize="1">
          <a:picLocks noChangeAspect="1"/>
        </xdr:cNvPicPr>
      </xdr:nvPicPr>
      <xdr:blipFill>
        <a:blip r:embed="rId2"/>
        <a:stretch>
          <a:fillRect/>
        </a:stretch>
      </xdr:blipFill>
      <xdr:spPr>
        <a:xfrm>
          <a:off x="6600825" y="314325"/>
          <a:ext cx="2162175" cy="152400"/>
        </a:xfrm>
        <a:prstGeom prst="rect">
          <a:avLst/>
        </a:prstGeom>
        <a:noFill/>
        <a:ln w="9525" cmpd="sng">
          <a:noFill/>
        </a:ln>
      </xdr:spPr>
    </xdr:pic>
    <xdr:clientData/>
  </xdr:twoCellAnchor>
  <xdr:twoCellAnchor>
    <xdr:from>
      <xdr:col>1</xdr:col>
      <xdr:colOff>361950</xdr:colOff>
      <xdr:row>28</xdr:row>
      <xdr:rowOff>152400</xdr:rowOff>
    </xdr:from>
    <xdr:to>
      <xdr:col>7</xdr:col>
      <xdr:colOff>590550</xdr:colOff>
      <xdr:row>53</xdr:row>
      <xdr:rowOff>104775</xdr:rowOff>
    </xdr:to>
    <xdr:graphicFrame>
      <xdr:nvGraphicFramePr>
        <xdr:cNvPr id="7" name="Chart 4"/>
        <xdr:cNvGraphicFramePr/>
      </xdr:nvGraphicFramePr>
      <xdr:xfrm>
        <a:off x="742950" y="8477250"/>
        <a:ext cx="7724775" cy="4000500"/>
      </xdr:xfrm>
      <a:graphic>
        <a:graphicData uri="http://schemas.openxmlformats.org/drawingml/2006/chart">
          <c:chart xmlns:c="http://schemas.openxmlformats.org/drawingml/2006/chart" r:id="rId3"/>
        </a:graphicData>
      </a:graphic>
    </xdr:graphicFrame>
    <xdr:clientData/>
  </xdr:twoCellAnchor>
  <xdr:twoCellAnchor>
    <xdr:from>
      <xdr:col>1</xdr:col>
      <xdr:colOff>266700</xdr:colOff>
      <xdr:row>56</xdr:row>
      <xdr:rowOff>0</xdr:rowOff>
    </xdr:from>
    <xdr:to>
      <xdr:col>7</xdr:col>
      <xdr:colOff>609600</xdr:colOff>
      <xdr:row>77</xdr:row>
      <xdr:rowOff>152400</xdr:rowOff>
    </xdr:to>
    <xdr:graphicFrame>
      <xdr:nvGraphicFramePr>
        <xdr:cNvPr id="8" name="Chart 10"/>
        <xdr:cNvGraphicFramePr/>
      </xdr:nvGraphicFramePr>
      <xdr:xfrm>
        <a:off x="647700" y="12858750"/>
        <a:ext cx="7839075" cy="3552825"/>
      </xdr:xfrm>
      <a:graphic>
        <a:graphicData uri="http://schemas.openxmlformats.org/drawingml/2006/chart">
          <c:chart xmlns:c="http://schemas.openxmlformats.org/drawingml/2006/chart" r:id="rId4"/>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orgia%20Pipeline%20-%20v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eorgia%20Pipeline%20-%20v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ser's Guide"/>
      <sheetName val="ERR &amp; Sensitivity Analysis"/>
      <sheetName val="ERR Pipeline"/>
      <sheetName val="Cost Assumptions"/>
      <sheetName val="Demand"/>
      <sheetName val="Transit"/>
      <sheetName val="IRR-high"/>
      <sheetName val="IRR-medium"/>
      <sheetName val="IRR-low"/>
      <sheetName val="IRR-low (2)"/>
      <sheetName val="IRR-sensitivities"/>
      <sheetName val="Financial Impact"/>
    </sheetNames>
    <sheetDataSet>
      <sheetData sheetId="3">
        <row r="22">
          <cell r="C22" t="str">
            <v>Low</v>
          </cell>
          <cell r="D22" t="str">
            <v>Medium</v>
          </cell>
          <cell r="E22" t="str">
            <v>High</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User's Guide"/>
      <sheetName val="Activity Description"/>
      <sheetName val="ERR &amp; Sensitivity Analysis"/>
      <sheetName val="ERR Pipeline"/>
      <sheetName val="Cost Assumptions"/>
      <sheetName val="Demand"/>
      <sheetName val="Transit"/>
      <sheetName val="IRR-high"/>
      <sheetName val="IRR-medium"/>
      <sheetName val="IRR-low"/>
      <sheetName val="IRR-low (2)"/>
      <sheetName val="IRR-sensitivities"/>
      <sheetName val="Financial Impact"/>
      <sheetName val="Georgia Pipeline - v3"/>
    </sheetNames>
    <sheetDataSet>
      <sheetData sheetId="4">
        <row r="22">
          <cell r="C22" t="str">
            <v>Low</v>
          </cell>
          <cell r="D22" t="str">
            <v>Medium</v>
          </cell>
          <cell r="E22" t="str">
            <v>High</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B1:D44"/>
  <sheetViews>
    <sheetView showGridLines="0" tabSelected="1" zoomScalePageLayoutView="0" workbookViewId="0" topLeftCell="A1">
      <selection activeCell="A1" sqref="A1"/>
    </sheetView>
  </sheetViews>
  <sheetFormatPr defaultColWidth="9.140625" defaultRowHeight="12.75"/>
  <cols>
    <col min="2" max="2" width="39.57421875" style="0" customWidth="1"/>
    <col min="3" max="3" width="106.421875" style="0" customWidth="1"/>
    <col min="7" max="7" width="42.421875" style="0" customWidth="1"/>
  </cols>
  <sheetData>
    <row r="1" ht="12.75">
      <c r="C1" s="334" t="s">
        <v>184</v>
      </c>
    </row>
    <row r="2" ht="20.25" customHeight="1">
      <c r="C2" s="441" t="s">
        <v>251</v>
      </c>
    </row>
    <row r="3" ht="12.75">
      <c r="C3" s="441"/>
    </row>
    <row r="4" ht="12.75">
      <c r="C4" s="441"/>
    </row>
    <row r="5" ht="12.75">
      <c r="C5" s="441"/>
    </row>
    <row r="6" ht="12.75">
      <c r="C6" s="441"/>
    </row>
    <row r="7" spans="2:3" ht="18">
      <c r="B7" s="1"/>
      <c r="C7" s="425" t="s">
        <v>196</v>
      </c>
    </row>
    <row r="8" spans="2:3" ht="13.5" thickBot="1">
      <c r="B8" s="1"/>
      <c r="C8" s="1"/>
    </row>
    <row r="9" spans="2:3" ht="18" customHeight="1" thickTop="1">
      <c r="B9" s="433" t="s">
        <v>185</v>
      </c>
      <c r="C9" s="434" t="s">
        <v>253</v>
      </c>
    </row>
    <row r="10" spans="2:3" ht="18" customHeight="1">
      <c r="B10" s="435" t="s">
        <v>186</v>
      </c>
      <c r="C10" s="336">
        <v>38540</v>
      </c>
    </row>
    <row r="11" spans="2:3" ht="18" customHeight="1">
      <c r="B11" s="436" t="s">
        <v>187</v>
      </c>
      <c r="C11" s="338" t="s">
        <v>197</v>
      </c>
    </row>
    <row r="12" spans="2:3" ht="51">
      <c r="B12" s="435" t="s">
        <v>188</v>
      </c>
      <c r="C12" s="339" t="s">
        <v>248</v>
      </c>
    </row>
    <row r="13" spans="2:3" ht="18" customHeight="1">
      <c r="B13" s="442" t="s">
        <v>189</v>
      </c>
      <c r="C13" s="337" t="s">
        <v>249</v>
      </c>
    </row>
    <row r="14" spans="2:3" ht="18" customHeight="1">
      <c r="B14" s="442"/>
      <c r="C14" s="337" t="s">
        <v>250</v>
      </c>
    </row>
    <row r="15" spans="2:3" ht="18" customHeight="1">
      <c r="B15" s="442"/>
      <c r="C15" s="337" t="s">
        <v>199</v>
      </c>
    </row>
    <row r="16" spans="2:3" ht="18" customHeight="1">
      <c r="B16" s="442"/>
      <c r="C16" s="337" t="s">
        <v>200</v>
      </c>
    </row>
    <row r="17" spans="2:3" ht="18" customHeight="1">
      <c r="B17" s="442"/>
      <c r="C17" s="337" t="s">
        <v>201</v>
      </c>
    </row>
    <row r="18" spans="2:3" ht="27" customHeight="1">
      <c r="B18" s="437" t="s">
        <v>190</v>
      </c>
      <c r="C18" s="339" t="s">
        <v>202</v>
      </c>
    </row>
    <row r="19" spans="2:3" ht="18" customHeight="1" thickBot="1">
      <c r="B19" s="438" t="s">
        <v>191</v>
      </c>
      <c r="C19" s="432" t="s">
        <v>198</v>
      </c>
    </row>
    <row r="20" spans="2:3" ht="18" customHeight="1" thickTop="1">
      <c r="B20" s="440"/>
      <c r="C20" s="427"/>
    </row>
    <row r="21" spans="2:3" ht="18" customHeight="1">
      <c r="B21" s="426"/>
      <c r="C21" s="427"/>
    </row>
    <row r="22" spans="2:4" ht="12.75">
      <c r="B22" s="439" t="s">
        <v>252</v>
      </c>
      <c r="C22" s="356"/>
      <c r="D22" s="335"/>
    </row>
    <row r="23" spans="2:4" ht="18" customHeight="1">
      <c r="B23" s="428" t="s">
        <v>194</v>
      </c>
      <c r="C23" s="428"/>
      <c r="D23" s="335"/>
    </row>
    <row r="24" spans="2:4" ht="12.75">
      <c r="B24" s="443" t="s">
        <v>195</v>
      </c>
      <c r="C24" s="443"/>
      <c r="D24" s="335"/>
    </row>
    <row r="25" spans="2:4" ht="12.75">
      <c r="B25" s="431"/>
      <c r="C25" s="356"/>
      <c r="D25" s="335"/>
    </row>
    <row r="26" spans="2:4" ht="18" customHeight="1">
      <c r="B26" s="444" t="s">
        <v>192</v>
      </c>
      <c r="C26" s="444"/>
      <c r="D26" s="335"/>
    </row>
    <row r="27" spans="2:3" ht="12.75">
      <c r="B27" s="443" t="s">
        <v>193</v>
      </c>
      <c r="C27" s="443"/>
    </row>
    <row r="28" spans="2:3" ht="12.75">
      <c r="B28" s="431"/>
      <c r="C28" s="356"/>
    </row>
    <row r="29" spans="2:3" ht="18" customHeight="1">
      <c r="B29" s="445" t="s">
        <v>203</v>
      </c>
      <c r="C29" s="445"/>
    </row>
    <row r="30" ht="12.75">
      <c r="B30" s="356" t="s">
        <v>233</v>
      </c>
    </row>
    <row r="31" ht="12.75">
      <c r="B31" s="356"/>
    </row>
    <row r="32" ht="18" customHeight="1">
      <c r="B32" s="429" t="s">
        <v>204</v>
      </c>
    </row>
    <row r="33" ht="12.75">
      <c r="B33" s="356" t="s">
        <v>234</v>
      </c>
    </row>
    <row r="34" spans="2:3" ht="6.75" customHeight="1">
      <c r="B34" s="431"/>
      <c r="C34" s="356"/>
    </row>
    <row r="35" spans="2:3" ht="12.75">
      <c r="B35" s="430"/>
      <c r="C35" s="430"/>
    </row>
    <row r="36" spans="2:3" ht="12.75">
      <c r="B36" s="430"/>
      <c r="C36" s="430"/>
    </row>
    <row r="37" spans="2:3" ht="12.75">
      <c r="B37" s="430"/>
      <c r="C37" s="430"/>
    </row>
    <row r="38" spans="2:3" ht="12.75">
      <c r="B38" s="430"/>
      <c r="C38" s="430"/>
    </row>
    <row r="39" spans="2:3" ht="12.75">
      <c r="B39" s="430"/>
      <c r="C39" s="430"/>
    </row>
    <row r="40" spans="2:3" ht="12.75">
      <c r="B40" s="430"/>
      <c r="C40" s="430"/>
    </row>
    <row r="41" spans="2:3" ht="12.75">
      <c r="B41" s="430"/>
      <c r="C41" s="430"/>
    </row>
    <row r="42" spans="2:3" ht="12.75">
      <c r="B42" s="430"/>
      <c r="C42" s="430"/>
    </row>
    <row r="43" spans="2:3" ht="12.75">
      <c r="B43" s="430"/>
      <c r="C43" s="430"/>
    </row>
    <row r="44" spans="2:3" ht="12.75">
      <c r="B44" s="430"/>
      <c r="C44" s="430"/>
    </row>
  </sheetData>
  <sheetProtection/>
  <mergeCells count="6">
    <mergeCell ref="C2:C6"/>
    <mergeCell ref="B13:B17"/>
    <mergeCell ref="B24:C24"/>
    <mergeCell ref="B26:C26"/>
    <mergeCell ref="B27:C27"/>
    <mergeCell ref="B29:C29"/>
  </mergeCells>
  <hyperlinks>
    <hyperlink ref="B26" location="'ERR &amp; Sensitivity Analysis'!A1" display="ERR &amp; Sensitivity Analysis"/>
    <hyperlink ref="B23" location="'Activity Description'!A1" display="Activity Description"/>
    <hyperlink ref="B29" location="Subactivities!A1" display="Subactivities"/>
    <hyperlink ref="B32" location="ERR!A1" display="ERR"/>
  </hyperlink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codeName="Sheet2"/>
  <dimension ref="B1:B27"/>
  <sheetViews>
    <sheetView showGridLines="0" zoomScalePageLayoutView="0" workbookViewId="0" topLeftCell="A1">
      <selection activeCell="B5" sqref="B5"/>
    </sheetView>
  </sheetViews>
  <sheetFormatPr defaultColWidth="9.140625" defaultRowHeight="12.75"/>
  <cols>
    <col min="1" max="1" width="5.7109375" style="417" customWidth="1"/>
    <col min="2" max="2" width="106.421875" style="417" customWidth="1"/>
    <col min="3" max="16384" width="9.140625" style="417" customWidth="1"/>
  </cols>
  <sheetData>
    <row r="1" ht="12.75">
      <c r="B1" s="422" t="s">
        <v>184</v>
      </c>
    </row>
    <row r="2" ht="39" customHeight="1">
      <c r="B2" s="416" t="s">
        <v>179</v>
      </c>
    </row>
    <row r="4" ht="18">
      <c r="B4" s="418" t="s">
        <v>194</v>
      </c>
    </row>
    <row r="6" ht="12.75">
      <c r="B6" s="420" t="s">
        <v>209</v>
      </c>
    </row>
    <row r="7" ht="6.75" customHeight="1"/>
    <row r="8" ht="51">
      <c r="B8" s="419" t="s">
        <v>245</v>
      </c>
    </row>
    <row r="10" ht="12.75">
      <c r="B10" s="420" t="s">
        <v>235</v>
      </c>
    </row>
    <row r="11" ht="6.75" customHeight="1"/>
    <row r="12" ht="31.5" customHeight="1">
      <c r="B12" s="417" t="s">
        <v>242</v>
      </c>
    </row>
    <row r="13" ht="51">
      <c r="B13" s="421" t="s">
        <v>246</v>
      </c>
    </row>
    <row r="14" ht="51">
      <c r="B14" s="421" t="s">
        <v>240</v>
      </c>
    </row>
    <row r="15" ht="32.25" customHeight="1">
      <c r="B15" s="421" t="s">
        <v>241</v>
      </c>
    </row>
    <row r="16" ht="30.75" customHeight="1">
      <c r="B16" s="417" t="s">
        <v>237</v>
      </c>
    </row>
    <row r="17" ht="30" customHeight="1">
      <c r="B17" s="417" t="s">
        <v>238</v>
      </c>
    </row>
    <row r="18" ht="20.25" customHeight="1">
      <c r="B18" s="417" t="s">
        <v>239</v>
      </c>
    </row>
    <row r="20" ht="12.75">
      <c r="B20" s="420" t="s">
        <v>236</v>
      </c>
    </row>
    <row r="21" ht="6.75" customHeight="1"/>
    <row r="22" ht="51">
      <c r="B22" s="417" t="s">
        <v>247</v>
      </c>
    </row>
    <row r="23" ht="36" customHeight="1">
      <c r="B23" s="419" t="s">
        <v>243</v>
      </c>
    </row>
    <row r="24" ht="29.25" customHeight="1">
      <c r="B24" s="417" t="s">
        <v>244</v>
      </c>
    </row>
    <row r="27" ht="12.75">
      <c r="B27" s="422" t="s">
        <v>184</v>
      </c>
    </row>
  </sheetData>
  <sheetProtection/>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sheetPr codeName="Sheet3"/>
  <dimension ref="A2:J27"/>
  <sheetViews>
    <sheetView showGridLines="0" zoomScale="90" zoomScaleNormal="90" zoomScalePageLayoutView="0" workbookViewId="0" topLeftCell="A1">
      <selection activeCell="A1" sqref="A1"/>
    </sheetView>
  </sheetViews>
  <sheetFormatPr defaultColWidth="9.140625" defaultRowHeight="12.75"/>
  <cols>
    <col min="1" max="1" width="5.7109375" style="341" customWidth="1"/>
    <col min="2" max="2" width="12.7109375" style="341" customWidth="1"/>
    <col min="3" max="3" width="4.140625" style="341" customWidth="1"/>
    <col min="4" max="4" width="54.140625" style="341" customWidth="1"/>
    <col min="5" max="5" width="13.140625" style="341" customWidth="1"/>
    <col min="6" max="6" width="13.8515625" style="341" customWidth="1"/>
    <col min="7" max="7" width="14.421875" style="341" customWidth="1"/>
    <col min="8" max="8" width="13.28125" style="341" customWidth="1"/>
    <col min="9" max="9" width="5.7109375" style="341" customWidth="1"/>
    <col min="10" max="10" width="19.28125" style="341" customWidth="1"/>
    <col min="11" max="16384" width="9.140625" style="341" customWidth="1"/>
  </cols>
  <sheetData>
    <row r="1" ht="12.75"/>
    <row r="2" spans="2:8" ht="23.25">
      <c r="B2" s="342" t="s">
        <v>179</v>
      </c>
      <c r="D2" s="342"/>
      <c r="E2" s="343"/>
      <c r="F2" s="344"/>
      <c r="G2" s="344"/>
      <c r="H2"/>
    </row>
    <row r="3" spans="2:8" ht="12.75">
      <c r="B3" s="344"/>
      <c r="D3" s="344"/>
      <c r="E3" s="344"/>
      <c r="F3" s="344"/>
      <c r="G3" s="344"/>
      <c r="H3"/>
    </row>
    <row r="4" spans="2:8" ht="18">
      <c r="B4" s="345" t="s">
        <v>174</v>
      </c>
      <c r="D4" s="345"/>
      <c r="E4" s="344"/>
      <c r="F4" s="344"/>
      <c r="G4" s="344"/>
      <c r="H4" s="385" t="s">
        <v>184</v>
      </c>
    </row>
    <row r="5" spans="3:7" ht="12.75">
      <c r="C5" s="344"/>
      <c r="D5" s="344"/>
      <c r="E5" s="344"/>
      <c r="F5" s="344"/>
      <c r="G5" s="344"/>
    </row>
    <row r="6" spans="2:8" ht="37.5" customHeight="1">
      <c r="B6" s="446" t="s">
        <v>219</v>
      </c>
      <c r="C6" s="446"/>
      <c r="D6" s="446"/>
      <c r="E6" s="446"/>
      <c r="F6" s="446"/>
      <c r="G6" s="446"/>
      <c r="H6" s="446"/>
    </row>
    <row r="7" spans="3:7" ht="12.75">
      <c r="C7" s="344"/>
      <c r="D7" s="344"/>
      <c r="E7" s="344"/>
      <c r="F7" s="344"/>
      <c r="G7" s="344"/>
    </row>
    <row r="8" spans="2:8" ht="15.75">
      <c r="B8" s="462" t="s">
        <v>205</v>
      </c>
      <c r="C8" s="460" t="s">
        <v>175</v>
      </c>
      <c r="D8" s="461"/>
      <c r="E8" s="463" t="s">
        <v>176</v>
      </c>
      <c r="F8" s="463"/>
      <c r="G8" s="463"/>
      <c r="H8" s="463"/>
    </row>
    <row r="9" spans="2:10" ht="38.25">
      <c r="B9" s="463"/>
      <c r="C9" s="460"/>
      <c r="D9" s="461"/>
      <c r="E9" s="374" t="s">
        <v>208</v>
      </c>
      <c r="F9" s="340" t="s">
        <v>206</v>
      </c>
      <c r="G9" s="340" t="s">
        <v>207</v>
      </c>
      <c r="H9" s="340" t="s">
        <v>177</v>
      </c>
      <c r="J9" s="366" t="s">
        <v>214</v>
      </c>
    </row>
    <row r="10" spans="2:10" ht="33" customHeight="1">
      <c r="B10" s="364" t="s">
        <v>209</v>
      </c>
      <c r="C10" s="447" t="s">
        <v>211</v>
      </c>
      <c r="D10" s="448"/>
      <c r="E10" s="357">
        <v>1</v>
      </c>
      <c r="F10" s="358">
        <v>1</v>
      </c>
      <c r="G10" s="352" t="s">
        <v>212</v>
      </c>
      <c r="H10" s="359">
        <f>E10</f>
        <v>1</v>
      </c>
      <c r="J10" s="367" t="str">
        <f>IF(E10=F10,IF(E11=F11,"Y","N"),"N")</f>
        <v>Y</v>
      </c>
    </row>
    <row r="11" spans="2:10" ht="33" customHeight="1">
      <c r="B11" s="365" t="s">
        <v>209</v>
      </c>
      <c r="C11" s="449" t="s">
        <v>213</v>
      </c>
      <c r="D11" s="450"/>
      <c r="E11" s="360">
        <v>1</v>
      </c>
      <c r="F11" s="361">
        <v>1</v>
      </c>
      <c r="G11" s="362" t="s">
        <v>212</v>
      </c>
      <c r="H11" s="363">
        <f>E11</f>
        <v>1</v>
      </c>
      <c r="J11" s="368" t="str">
        <f>IF(E14=F14,IF(E15=F15,IF(E16=F16,IF(E17=F17,IF(E18=F18,IF(E19=F19,IF(E20=F20,IF(E21=F21,"Y","N"),"N"),"N"),"N"),"N"),"N"),"N"),"N")</f>
        <v>Y</v>
      </c>
    </row>
    <row r="12" spans="1:10" ht="15.75">
      <c r="A12" s="356"/>
      <c r="B12" s="355"/>
      <c r="C12" s="355"/>
      <c r="D12" s="355"/>
      <c r="E12" s="354"/>
      <c r="F12" s="353"/>
      <c r="G12" s="353"/>
      <c r="H12" s="353"/>
      <c r="I12" s="356"/>
      <c r="J12" s="370"/>
    </row>
    <row r="13" spans="2:10" ht="33" customHeight="1">
      <c r="B13" s="377" t="s">
        <v>210</v>
      </c>
      <c r="C13" s="455" t="s">
        <v>182</v>
      </c>
      <c r="D13" s="456"/>
      <c r="E13" s="378"/>
      <c r="F13" s="3"/>
      <c r="G13" s="3"/>
      <c r="H13" s="371"/>
      <c r="J13" s="369" t="s">
        <v>215</v>
      </c>
    </row>
    <row r="14" spans="2:10" ht="24.75" customHeight="1">
      <c r="B14" s="379"/>
      <c r="C14" s="401"/>
      <c r="D14" s="402" t="s">
        <v>220</v>
      </c>
      <c r="E14" s="383">
        <v>0.02</v>
      </c>
      <c r="F14" s="384">
        <v>0.02</v>
      </c>
      <c r="G14" s="393" t="s">
        <v>226</v>
      </c>
      <c r="H14" s="373">
        <f aca="true" t="shared" si="0" ref="H14:H20">IF($J$10="Y",E14,F14)</f>
        <v>0.02</v>
      </c>
      <c r="J14" s="399" t="s">
        <v>216</v>
      </c>
    </row>
    <row r="15" spans="2:10" ht="24.75" customHeight="1">
      <c r="B15" s="379"/>
      <c r="C15" s="401"/>
      <c r="D15" s="402" t="s">
        <v>218</v>
      </c>
      <c r="E15" s="383">
        <v>0.05</v>
      </c>
      <c r="F15" s="384">
        <v>0.05</v>
      </c>
      <c r="G15" s="393" t="s">
        <v>226</v>
      </c>
      <c r="H15" s="373">
        <f t="shared" si="0"/>
        <v>0.05</v>
      </c>
      <c r="J15" s="400" t="s">
        <v>217</v>
      </c>
    </row>
    <row r="16" spans="2:8" ht="33" customHeight="1">
      <c r="B16" s="379" t="s">
        <v>210</v>
      </c>
      <c r="C16" s="451" t="s">
        <v>181</v>
      </c>
      <c r="D16" s="452"/>
      <c r="E16" s="346">
        <v>1.88</v>
      </c>
      <c r="F16" s="347">
        <v>1.88</v>
      </c>
      <c r="G16" s="394" t="s">
        <v>221</v>
      </c>
      <c r="H16" s="372">
        <f t="shared" si="0"/>
        <v>1.88</v>
      </c>
    </row>
    <row r="17" spans="2:8" ht="33" customHeight="1">
      <c r="B17" s="379" t="s">
        <v>210</v>
      </c>
      <c r="C17" s="453" t="s">
        <v>180</v>
      </c>
      <c r="D17" s="454"/>
      <c r="E17" s="348">
        <v>38.0205</v>
      </c>
      <c r="F17" s="423">
        <v>38.0205</v>
      </c>
      <c r="G17" s="394" t="s">
        <v>223</v>
      </c>
      <c r="H17" s="424">
        <f t="shared" si="0"/>
        <v>38.0205</v>
      </c>
    </row>
    <row r="18" spans="2:8" ht="33" customHeight="1">
      <c r="B18" s="379" t="s">
        <v>210</v>
      </c>
      <c r="C18" s="451" t="s">
        <v>62</v>
      </c>
      <c r="D18" s="452"/>
      <c r="E18" s="349">
        <v>250</v>
      </c>
      <c r="F18" s="350">
        <v>250</v>
      </c>
      <c r="G18" s="394" t="s">
        <v>224</v>
      </c>
      <c r="H18" s="372">
        <f t="shared" si="0"/>
        <v>250</v>
      </c>
    </row>
    <row r="19" spans="2:8" ht="33" customHeight="1">
      <c r="B19" s="379" t="s">
        <v>210</v>
      </c>
      <c r="C19" s="451" t="s">
        <v>103</v>
      </c>
      <c r="D19" s="452"/>
      <c r="E19" s="390">
        <v>0.65</v>
      </c>
      <c r="F19" s="391">
        <v>0.65</v>
      </c>
      <c r="G19" s="394" t="s">
        <v>225</v>
      </c>
      <c r="H19" s="392">
        <f t="shared" si="0"/>
        <v>0.65</v>
      </c>
    </row>
    <row r="20" spans="2:8" ht="33" customHeight="1">
      <c r="B20" s="379" t="s">
        <v>210</v>
      </c>
      <c r="C20" s="453" t="s">
        <v>227</v>
      </c>
      <c r="D20" s="454"/>
      <c r="E20" s="390">
        <v>0.1</v>
      </c>
      <c r="F20" s="395">
        <v>0.1</v>
      </c>
      <c r="G20" s="397" t="s">
        <v>229</v>
      </c>
      <c r="H20" s="392">
        <f t="shared" si="0"/>
        <v>0.1</v>
      </c>
    </row>
    <row r="21" spans="2:8" ht="33" customHeight="1">
      <c r="B21" s="380" t="s">
        <v>210</v>
      </c>
      <c r="C21" s="457" t="s">
        <v>228</v>
      </c>
      <c r="D21" s="458"/>
      <c r="E21" s="381">
        <v>0.08</v>
      </c>
      <c r="F21" s="396">
        <v>0.08</v>
      </c>
      <c r="G21" s="398" t="s">
        <v>229</v>
      </c>
      <c r="H21" s="382">
        <f>IF($J$10="Y",E21,F21)</f>
        <v>0.08</v>
      </c>
    </row>
    <row r="22" spans="2:8" ht="12.75">
      <c r="B22" s="404"/>
      <c r="C22" s="403"/>
      <c r="D22" s="403"/>
      <c r="E22" s="405"/>
      <c r="F22" s="406"/>
      <c r="G22" s="407"/>
      <c r="H22" s="408"/>
    </row>
    <row r="23" spans="2:8" ht="33" customHeight="1">
      <c r="B23" s="459">
        <f>IF(J10="N",IF(J11="N","Reminder: Please reset all summary parameters to original values before changing specific parameters.  Specific parameters will only be used in ERR computation when all summary parameters are set to initial values",0),0)</f>
        <v>0</v>
      </c>
      <c r="C23" s="459"/>
      <c r="D23" s="459"/>
      <c r="E23" s="459"/>
      <c r="F23" s="459"/>
      <c r="G23" s="459"/>
      <c r="H23" s="459"/>
    </row>
    <row r="25" spans="4:5" ht="12.75">
      <c r="D25" s="351" t="s">
        <v>178</v>
      </c>
      <c r="E25" s="388">
        <f>ERR!N56</f>
        <v>0.1187555112410057</v>
      </c>
    </row>
    <row r="27" spans="4:5" ht="12.75">
      <c r="D27" s="386" t="s">
        <v>222</v>
      </c>
      <c r="E27" s="387">
        <v>0.119</v>
      </c>
    </row>
  </sheetData>
  <sheetProtection/>
  <mergeCells count="14">
    <mergeCell ref="C20:D20"/>
    <mergeCell ref="C21:D21"/>
    <mergeCell ref="B23:H23"/>
    <mergeCell ref="C8:D9"/>
    <mergeCell ref="B8:B9"/>
    <mergeCell ref="E8:H8"/>
    <mergeCell ref="B6:H6"/>
    <mergeCell ref="C10:D10"/>
    <mergeCell ref="C11:D11"/>
    <mergeCell ref="C19:D19"/>
    <mergeCell ref="C18:D18"/>
    <mergeCell ref="C17:D17"/>
    <mergeCell ref="C16:D16"/>
    <mergeCell ref="C13:D13"/>
  </mergeCells>
  <conditionalFormatting sqref="B23">
    <cfRule type="cellIs" priority="1" dxfId="1" operator="equal" stopIfTrue="1">
      <formula>0</formula>
    </cfRule>
    <cfRule type="cellIs" priority="2" dxfId="0" operator="notEqual" stopIfTrue="1">
      <formula>0</formula>
    </cfRule>
  </conditionalFormatting>
  <hyperlinks>
    <hyperlink ref="J15" location="'User''s Guide'!A1" display="User's Guide"/>
    <hyperlink ref="J14" location="'Activity Description'!A1" display="   Activity Description"/>
  </hyperlinks>
  <printOptions/>
  <pageMargins left="0.75" right="0.75" top="1" bottom="1" header="0.5" footer="0.5"/>
  <pageSetup orientation="portrait" paperSize="9"/>
  <drawing r:id="rId2"/>
  <legacyDrawing r:id="rId1"/>
</worksheet>
</file>

<file path=xl/worksheets/sheet5.xml><?xml version="1.0" encoding="utf-8"?>
<worksheet xmlns="http://schemas.openxmlformats.org/spreadsheetml/2006/main" xmlns:r="http://schemas.openxmlformats.org/officeDocument/2006/relationships">
  <sheetPr codeName="Sheet4"/>
  <dimension ref="A1:O99"/>
  <sheetViews>
    <sheetView zoomScalePageLayoutView="0" workbookViewId="0" topLeftCell="A1">
      <pane ySplit="2" topLeftCell="A3" activePane="bottomLeft" state="frozen"/>
      <selection pane="topLeft" activeCell="A1" sqref="A1"/>
      <selection pane="bottomLeft" activeCell="A2" sqref="A2"/>
    </sheetView>
  </sheetViews>
  <sheetFormatPr defaultColWidth="9.140625" defaultRowHeight="12.75"/>
  <cols>
    <col min="1" max="1" width="39.7109375" style="166" customWidth="1"/>
    <col min="2" max="2" width="17.28125" style="166" customWidth="1"/>
    <col min="3" max="3" width="16.421875" style="166" customWidth="1"/>
    <col min="4" max="4" width="16.28125" style="166" customWidth="1"/>
    <col min="5" max="5" width="17.421875" style="166" customWidth="1"/>
    <col min="6" max="6" width="15.00390625" style="166" customWidth="1"/>
    <col min="7" max="8" width="16.28125" style="166" customWidth="1"/>
    <col min="9" max="9" width="3.7109375" style="166" customWidth="1"/>
    <col min="10" max="10" width="14.00390625" style="166" customWidth="1"/>
    <col min="11" max="11" width="11.28125" style="166" customWidth="1"/>
    <col min="12" max="12" width="12.00390625" style="166" customWidth="1"/>
    <col min="13" max="16" width="9.140625" style="166" customWidth="1"/>
    <col min="17" max="17" width="10.00390625" style="166" customWidth="1"/>
    <col min="18" max="16384" width="9.140625" style="166" customWidth="1"/>
  </cols>
  <sheetData>
    <row r="1" spans="1:15" s="16" customFormat="1" ht="13.5" thickBot="1">
      <c r="A1" s="459">
        <f>IF('ERR &amp; Sensitivity Analysis'!$J$10="N","Note: Current calculations are based on user input and are not the original MCC estimates.",IF('ERR &amp; Sensitivity Analysis'!$J$11="N","Note: Current calculations are based on user input and are not the original MCC estimates.",0))</f>
        <v>0</v>
      </c>
      <c r="B1" s="459"/>
      <c r="C1" s="459"/>
      <c r="D1" s="459"/>
      <c r="E1" s="5"/>
      <c r="F1" s="5"/>
      <c r="G1" s="5"/>
      <c r="H1" s="5"/>
      <c r="I1" s="5"/>
      <c r="J1" s="174" t="s">
        <v>131</v>
      </c>
      <c r="K1" s="175"/>
      <c r="L1" s="175"/>
      <c r="M1" s="175"/>
      <c r="N1" s="175"/>
      <c r="O1" s="176"/>
    </row>
    <row r="2" spans="1:15" s="16" customFormat="1" ht="12.75">
      <c r="A2" s="177"/>
      <c r="B2" s="178" t="s">
        <v>0</v>
      </c>
      <c r="C2" s="178" t="s">
        <v>1</v>
      </c>
      <c r="D2" s="178" t="s">
        <v>2</v>
      </c>
      <c r="E2" s="179" t="s">
        <v>3</v>
      </c>
      <c r="F2" s="180" t="s">
        <v>4</v>
      </c>
      <c r="G2" s="180" t="s">
        <v>11</v>
      </c>
      <c r="H2" s="177"/>
      <c r="I2" s="20"/>
      <c r="J2" s="181">
        <f>G28+(G40-10%*G28)+(G50-5%*G28)+(G69-20%*G28)</f>
        <v>56868.171711899806</v>
      </c>
      <c r="K2" s="20" t="s">
        <v>133</v>
      </c>
      <c r="L2" s="20"/>
      <c r="M2" s="20"/>
      <c r="N2" s="20"/>
      <c r="O2" s="21"/>
    </row>
    <row r="3" spans="1:15" s="16" customFormat="1" ht="12.75">
      <c r="A3" s="19" t="s">
        <v>70</v>
      </c>
      <c r="B3" s="182">
        <v>2469014</v>
      </c>
      <c r="C3" s="182">
        <v>3304955</v>
      </c>
      <c r="D3" s="182">
        <v>3962834</v>
      </c>
      <c r="E3" s="183">
        <v>3012174</v>
      </c>
      <c r="F3" s="184">
        <v>2203871</v>
      </c>
      <c r="G3" s="185">
        <f>SUM(B3:F3)</f>
        <v>14952848</v>
      </c>
      <c r="H3" s="186"/>
      <c r="I3" s="20"/>
      <c r="J3" s="181">
        <f>G84-J2</f>
        <v>276906.8282881002</v>
      </c>
      <c r="K3" s="20" t="s">
        <v>132</v>
      </c>
      <c r="L3" s="20"/>
      <c r="M3" s="20"/>
      <c r="N3" s="20"/>
      <c r="O3" s="21"/>
    </row>
    <row r="4" spans="1:15" s="195" customFormat="1" ht="12.75">
      <c r="A4" s="187" t="s">
        <v>68</v>
      </c>
      <c r="B4" s="188"/>
      <c r="C4" s="188"/>
      <c r="D4" s="188"/>
      <c r="E4" s="189"/>
      <c r="F4" s="190"/>
      <c r="G4" s="191"/>
      <c r="H4" s="191"/>
      <c r="I4" s="192"/>
      <c r="J4" s="193">
        <f>SUM(J2:J3)</f>
        <v>333775</v>
      </c>
      <c r="K4" s="194" t="s">
        <v>134</v>
      </c>
      <c r="L4" s="52"/>
      <c r="M4" s="52"/>
      <c r="N4" s="52"/>
      <c r="O4" s="53"/>
    </row>
    <row r="5" spans="1:15" s="54" customFormat="1" ht="12.75">
      <c r="A5" s="196" t="s">
        <v>71</v>
      </c>
      <c r="B5" s="197">
        <v>1000000</v>
      </c>
      <c r="C5" s="197">
        <v>1500000</v>
      </c>
      <c r="D5" s="197">
        <v>1800000</v>
      </c>
      <c r="E5" s="198">
        <v>1500000</v>
      </c>
      <c r="F5" s="199">
        <v>700000</v>
      </c>
      <c r="G5" s="200">
        <f>SUM(B5:F5)</f>
        <v>6500000</v>
      </c>
      <c r="H5" s="201"/>
      <c r="I5" s="202"/>
      <c r="J5" s="203">
        <f>G30+G37+G47+G66</f>
        <v>8692.169341302828</v>
      </c>
      <c r="K5" s="194" t="s">
        <v>65</v>
      </c>
      <c r="L5" s="52"/>
      <c r="M5" s="52"/>
      <c r="N5" s="52"/>
      <c r="O5" s="53"/>
    </row>
    <row r="6" spans="1:15" s="54" customFormat="1" ht="13.5" thickBot="1">
      <c r="A6" s="69" t="s">
        <v>76</v>
      </c>
      <c r="B6" s="204">
        <f>(1*B5)/B3</f>
        <v>0.40501997963559544</v>
      </c>
      <c r="C6" s="204">
        <f>(1*C5)/C3</f>
        <v>0.45386397091639674</v>
      </c>
      <c r="D6" s="204">
        <f>(1*D5)/D3</f>
        <v>0.4542203887419963</v>
      </c>
      <c r="E6" s="205">
        <f>(1*E5)/E3</f>
        <v>0.4979792004047575</v>
      </c>
      <c r="F6" s="206">
        <f>(1*F5)/F3</f>
        <v>0.3176229461706243</v>
      </c>
      <c r="G6" s="96"/>
      <c r="H6" s="96"/>
      <c r="I6" s="52"/>
      <c r="J6" s="207">
        <f>G35+G45+G64</f>
        <v>435.66894985196967</v>
      </c>
      <c r="K6" s="208" t="s">
        <v>66</v>
      </c>
      <c r="L6" s="129"/>
      <c r="M6" s="129"/>
      <c r="N6" s="129"/>
      <c r="O6" s="209"/>
    </row>
    <row r="7" spans="1:9" s="54" customFormat="1" ht="12.75">
      <c r="A7" s="69"/>
      <c r="B7" s="210"/>
      <c r="C7" s="210"/>
      <c r="D7" s="210"/>
      <c r="E7" s="211"/>
      <c r="F7" s="212"/>
      <c r="G7" s="96"/>
      <c r="H7" s="96"/>
      <c r="I7" s="52"/>
    </row>
    <row r="8" spans="1:9" s="54" customFormat="1" ht="12.75">
      <c r="A8" s="69" t="s">
        <v>72</v>
      </c>
      <c r="B8" s="213">
        <v>663713</v>
      </c>
      <c r="C8" s="213">
        <v>542188</v>
      </c>
      <c r="D8" s="213">
        <v>454863</v>
      </c>
      <c r="E8" s="214">
        <v>361288</v>
      </c>
      <c r="F8" s="215">
        <v>355288</v>
      </c>
      <c r="G8" s="216">
        <f>SUM(B8:F8)</f>
        <v>2377340</v>
      </c>
      <c r="H8" s="96"/>
      <c r="I8" s="52"/>
    </row>
    <row r="9" spans="1:9" s="16" customFormat="1" ht="12.75">
      <c r="A9" s="217" t="s">
        <v>69</v>
      </c>
      <c r="B9" s="218">
        <f>(B6*B8)+B5</f>
        <v>1268817.0257438798</v>
      </c>
      <c r="C9" s="218">
        <f>(C6*C8)+C5</f>
        <v>1746079.5986632193</v>
      </c>
      <c r="D9" s="218">
        <f>(D6*D8)+D5</f>
        <v>2006608.0486843507</v>
      </c>
      <c r="E9" s="219">
        <f>(E6*E8)+E5</f>
        <v>1679913.9093558341</v>
      </c>
      <c r="F9" s="220">
        <f>(F6*F8)+F5</f>
        <v>812847.6212990688</v>
      </c>
      <c r="G9" s="221">
        <f>SUM(B9:F9)</f>
        <v>7514266.203746352</v>
      </c>
      <c r="H9" s="221">
        <f>G9+H60+H80</f>
        <v>13424155.674454782</v>
      </c>
      <c r="I9" s="222"/>
    </row>
    <row r="10" spans="1:9" s="16" customFormat="1" ht="12.75">
      <c r="A10" s="217"/>
      <c r="B10" s="218"/>
      <c r="C10" s="218"/>
      <c r="D10" s="218"/>
      <c r="E10" s="219"/>
      <c r="F10" s="220"/>
      <c r="G10" s="221"/>
      <c r="H10" s="221"/>
      <c r="I10" s="222"/>
    </row>
    <row r="11" spans="1:9" s="46" customFormat="1" ht="12.75">
      <c r="A11" s="223" t="s">
        <v>75</v>
      </c>
      <c r="B11" s="224"/>
      <c r="C11" s="62"/>
      <c r="D11" s="62"/>
      <c r="E11" s="225"/>
      <c r="F11" s="135"/>
      <c r="G11" s="135"/>
      <c r="H11" s="135"/>
      <c r="I11" s="61"/>
    </row>
    <row r="12" spans="1:9" s="46" customFormat="1" ht="12.75">
      <c r="A12" s="62" t="s">
        <v>6</v>
      </c>
      <c r="B12" s="226">
        <f>0.4*B9</f>
        <v>507526.810297552</v>
      </c>
      <c r="C12" s="226">
        <f>0.3333*C9</f>
        <v>581968.330234451</v>
      </c>
      <c r="D12" s="226">
        <f>0.3333*D9</f>
        <v>668802.462626494</v>
      </c>
      <c r="E12" s="227">
        <f>0.3333*E9</f>
        <v>559915.3059882995</v>
      </c>
      <c r="F12" s="228">
        <f>0.4*F9</f>
        <v>325139.04851962754</v>
      </c>
      <c r="G12" s="229">
        <f>SUM(B12:F12)</f>
        <v>2643351.957666424</v>
      </c>
      <c r="H12" s="135"/>
      <c r="I12" s="61"/>
    </row>
    <row r="13" spans="1:9" s="46" customFormat="1" ht="12.75">
      <c r="A13" s="62" t="s">
        <v>5</v>
      </c>
      <c r="B13" s="226">
        <f>0.3*B9</f>
        <v>380645.10772316396</v>
      </c>
      <c r="C13" s="226">
        <f>0.3333*C9</f>
        <v>581968.330234451</v>
      </c>
      <c r="D13" s="226">
        <f>0.3333*D9</f>
        <v>668802.462626494</v>
      </c>
      <c r="E13" s="227">
        <f>0.3333*E9</f>
        <v>559915.3059882995</v>
      </c>
      <c r="F13" s="228">
        <f>0.3*F9</f>
        <v>243854.28638972063</v>
      </c>
      <c r="G13" s="229">
        <f>SUM(B13:F13)</f>
        <v>2435185.492962129</v>
      </c>
      <c r="H13" s="135"/>
      <c r="I13" s="61"/>
    </row>
    <row r="14" spans="1:9" s="46" customFormat="1" ht="12.75">
      <c r="A14" s="62" t="s">
        <v>26</v>
      </c>
      <c r="B14" s="226">
        <f>0.3*B9</f>
        <v>380645.10772316396</v>
      </c>
      <c r="C14" s="226">
        <f>0.3333*C9</f>
        <v>581968.330234451</v>
      </c>
      <c r="D14" s="226">
        <f>0.3333*D9</f>
        <v>668802.462626494</v>
      </c>
      <c r="E14" s="227">
        <f>0.3333*E9</f>
        <v>559915.3059882995</v>
      </c>
      <c r="F14" s="228">
        <f>0.3*F9</f>
        <v>243854.28638972063</v>
      </c>
      <c r="G14" s="229">
        <f>SUM(B14:F14)</f>
        <v>2435185.492962129</v>
      </c>
      <c r="H14" s="135"/>
      <c r="I14" s="61"/>
    </row>
    <row r="15" spans="1:9" s="46" customFormat="1" ht="12.75">
      <c r="A15" s="62"/>
      <c r="B15" s="62"/>
      <c r="C15" s="62"/>
      <c r="D15" s="62"/>
      <c r="E15" s="230"/>
      <c r="F15" s="135"/>
      <c r="G15" s="229">
        <f>SUM(G12:G14)</f>
        <v>7513722.943590682</v>
      </c>
      <c r="H15" s="229"/>
      <c r="I15" s="231"/>
    </row>
    <row r="16" spans="1:9" s="46" customFormat="1" ht="12.75">
      <c r="A16" s="62" t="s">
        <v>9</v>
      </c>
      <c r="B16" s="232">
        <f>B12/5000</f>
        <v>101.50536205951039</v>
      </c>
      <c r="C16" s="232">
        <f>C12/5000</f>
        <v>116.3936660468902</v>
      </c>
      <c r="D16" s="232">
        <f>D12/5000</f>
        <v>133.7604925252988</v>
      </c>
      <c r="E16" s="233">
        <f>E12/5000</f>
        <v>111.98306119765991</v>
      </c>
      <c r="F16" s="234">
        <f>F12/5000</f>
        <v>65.02780970392551</v>
      </c>
      <c r="G16" s="135"/>
      <c r="H16" s="135"/>
      <c r="I16" s="61"/>
    </row>
    <row r="17" spans="1:9" s="46" customFormat="1" ht="12.75">
      <c r="A17" s="62" t="s">
        <v>10</v>
      </c>
      <c r="B17" s="232">
        <f>B13/10000</f>
        <v>38.064510772316396</v>
      </c>
      <c r="C17" s="232">
        <f>C13/10000</f>
        <v>58.1968330234451</v>
      </c>
      <c r="D17" s="232">
        <f>D13/10000</f>
        <v>66.8802462626494</v>
      </c>
      <c r="E17" s="233">
        <f>E13/10000</f>
        <v>55.991530598829954</v>
      </c>
      <c r="F17" s="234">
        <f>F13/10000</f>
        <v>24.385428638972062</v>
      </c>
      <c r="G17" s="135"/>
      <c r="H17" s="235"/>
      <c r="I17" s="236"/>
    </row>
    <row r="18" spans="1:9" s="46" customFormat="1" ht="12.75">
      <c r="A18" s="62" t="s">
        <v>25</v>
      </c>
      <c r="B18" s="232">
        <f>B14/15000</f>
        <v>25.376340514877597</v>
      </c>
      <c r="C18" s="232">
        <f>C14/15000</f>
        <v>38.79788868229673</v>
      </c>
      <c r="D18" s="232">
        <f>D14/15000</f>
        <v>44.586830841766265</v>
      </c>
      <c r="E18" s="233">
        <f>E14/15000</f>
        <v>37.327687065886636</v>
      </c>
      <c r="F18" s="234">
        <f>F14/15000</f>
        <v>16.256952425981375</v>
      </c>
      <c r="G18" s="135"/>
      <c r="H18" s="135"/>
      <c r="I18" s="61"/>
    </row>
    <row r="19" spans="1:9" s="46" customFormat="1" ht="12.75">
      <c r="A19" s="62"/>
      <c r="B19" s="232"/>
      <c r="C19" s="232"/>
      <c r="D19" s="232"/>
      <c r="E19" s="233"/>
      <c r="F19" s="234"/>
      <c r="G19" s="135" t="s">
        <v>120</v>
      </c>
      <c r="H19" s="135"/>
      <c r="I19" s="61"/>
    </row>
    <row r="20" spans="1:10" s="46" customFormat="1" ht="12.75">
      <c r="A20" s="62"/>
      <c r="B20" s="232"/>
      <c r="C20" s="232"/>
      <c r="D20" s="232"/>
      <c r="E20" s="233"/>
      <c r="F20" s="234"/>
      <c r="G20" s="237" t="s">
        <v>121</v>
      </c>
      <c r="H20" s="238" t="s">
        <v>122</v>
      </c>
      <c r="I20" s="239"/>
      <c r="J20" s="61"/>
    </row>
    <row r="21" spans="1:9" s="46" customFormat="1" ht="12.75">
      <c r="A21" s="62" t="s">
        <v>118</v>
      </c>
      <c r="B21" s="240">
        <f>B16*$G21*$H21</f>
        <v>253763.405148776</v>
      </c>
      <c r="C21" s="240">
        <f>C16*$G21*$H21</f>
        <v>290984.1651172255</v>
      </c>
      <c r="D21" s="240">
        <f>D16*$G21*$H21</f>
        <v>334401.23131324694</v>
      </c>
      <c r="E21" s="230">
        <f>E16*$G21*$H21</f>
        <v>279957.6529941498</v>
      </c>
      <c r="F21" s="229">
        <f>F16*$G21*$H21</f>
        <v>162569.52425981377</v>
      </c>
      <c r="G21" s="241">
        <v>0.5</v>
      </c>
      <c r="H21" s="229">
        <v>5000</v>
      </c>
      <c r="I21" s="231"/>
    </row>
    <row r="22" spans="1:9" s="46" customFormat="1" ht="12.75">
      <c r="A22" s="62" t="s">
        <v>117</v>
      </c>
      <c r="B22" s="240">
        <f aca="true" t="shared" si="0" ref="B22:F23">B17*$G22*$H22</f>
        <v>380645.10772316396</v>
      </c>
      <c r="C22" s="240">
        <f t="shared" si="0"/>
        <v>581968.330234451</v>
      </c>
      <c r="D22" s="240">
        <f t="shared" si="0"/>
        <v>668802.4626264939</v>
      </c>
      <c r="E22" s="230">
        <f t="shared" si="0"/>
        <v>559915.3059882995</v>
      </c>
      <c r="F22" s="229">
        <f t="shared" si="0"/>
        <v>243854.28638972063</v>
      </c>
      <c r="G22" s="241">
        <v>1</v>
      </c>
      <c r="H22" s="229">
        <v>10000</v>
      </c>
      <c r="I22" s="231"/>
    </row>
    <row r="23" spans="1:9" s="46" customFormat="1" ht="12.75">
      <c r="A23" s="62" t="s">
        <v>119</v>
      </c>
      <c r="B23" s="240">
        <f t="shared" si="0"/>
        <v>380645.10772316396</v>
      </c>
      <c r="C23" s="240">
        <f t="shared" si="0"/>
        <v>581968.330234451</v>
      </c>
      <c r="D23" s="240">
        <f t="shared" si="0"/>
        <v>668802.462626494</v>
      </c>
      <c r="E23" s="230">
        <f t="shared" si="0"/>
        <v>559915.3059882995</v>
      </c>
      <c r="F23" s="229">
        <f t="shared" si="0"/>
        <v>243854.28638972063</v>
      </c>
      <c r="G23" s="241">
        <v>1</v>
      </c>
      <c r="H23" s="229">
        <v>15000</v>
      </c>
      <c r="I23" s="231"/>
    </row>
    <row r="24" spans="1:9" s="46" customFormat="1" ht="12.75">
      <c r="A24" s="62" t="s">
        <v>127</v>
      </c>
      <c r="B24" s="242">
        <f>B64*$G$24*$H$24</f>
        <v>160425.681375</v>
      </c>
      <c r="C24" s="242">
        <f>C64*$G$24*$H$24</f>
        <v>282147.7981275</v>
      </c>
      <c r="D24" s="242">
        <f>D64*$G$24*$H$24</f>
        <v>404921.26858755003</v>
      </c>
      <c r="E24" s="243">
        <f>E64*$G$24*$H$24</f>
        <v>277382.17237175093</v>
      </c>
      <c r="F24" s="244">
        <f>F64*$G$24*$H$24</f>
        <v>274511.140447435</v>
      </c>
      <c r="G24" s="241">
        <v>0.25</v>
      </c>
      <c r="H24" s="228">
        <v>250000</v>
      </c>
      <c r="I24" s="245"/>
    </row>
    <row r="25" spans="1:9" s="16" customFormat="1" ht="12.75">
      <c r="A25" s="246" t="s">
        <v>123</v>
      </c>
      <c r="B25" s="247">
        <f>SUM(B21:B24)</f>
        <v>1175479.3019701038</v>
      </c>
      <c r="C25" s="247">
        <f>SUM(C21:C24)</f>
        <v>1737068.6237136275</v>
      </c>
      <c r="D25" s="247">
        <f>SUM(D21:D24)</f>
        <v>2076927.425153785</v>
      </c>
      <c r="E25" s="248">
        <f>SUM(E21:E24)</f>
        <v>1677170.4373424996</v>
      </c>
      <c r="F25" s="249">
        <f>SUM(F21:F24)</f>
        <v>924789.23748669</v>
      </c>
      <c r="G25" s="250"/>
      <c r="H25" s="251"/>
      <c r="I25" s="36"/>
    </row>
    <row r="26" s="16" customFormat="1" ht="12.75"/>
    <row r="27" spans="1:7" s="16" customFormat="1" ht="12.75">
      <c r="A27" s="178" t="s">
        <v>7</v>
      </c>
      <c r="B27" s="252"/>
      <c r="C27" s="252"/>
      <c r="D27" s="177"/>
      <c r="E27" s="253"/>
      <c r="F27" s="253"/>
      <c r="G27" s="253" t="s">
        <v>138</v>
      </c>
    </row>
    <row r="28" spans="1:10" s="16" customFormat="1" ht="12.75">
      <c r="A28" s="32" t="s">
        <v>17</v>
      </c>
      <c r="B28" s="254">
        <f>B16*10</f>
        <v>1015.0536205951039</v>
      </c>
      <c r="C28" s="254">
        <f>C16*10+B28*$B$92</f>
        <v>1184.2377328808043</v>
      </c>
      <c r="D28" s="255">
        <f>D16*10+C28*$B$92</f>
        <v>1361.289679910604</v>
      </c>
      <c r="E28" s="256">
        <f>E16*10+D28*$B$92</f>
        <v>1147.0564055748112</v>
      </c>
      <c r="F28" s="256">
        <f>F16*10+E28*$B$92</f>
        <v>673.2192251507514</v>
      </c>
      <c r="G28" s="257">
        <f>SUM(B28:F28)</f>
        <v>5380.856664112074</v>
      </c>
      <c r="H28" s="258"/>
      <c r="I28" s="258"/>
      <c r="J28" s="258"/>
    </row>
    <row r="29" spans="1:10" s="16" customFormat="1" ht="12.75">
      <c r="A29" s="32" t="s">
        <v>18</v>
      </c>
      <c r="B29" s="259">
        <f>(250*0.25)*B28</f>
        <v>63440.851287194</v>
      </c>
      <c r="C29" s="259">
        <f>(250*0.25)*C28</f>
        <v>74014.85830505026</v>
      </c>
      <c r="D29" s="260">
        <f>(250*0.25)*D28</f>
        <v>85080.60499441276</v>
      </c>
      <c r="E29" s="261">
        <f>(250*0.25)*E28</f>
        <v>71691.0253484257</v>
      </c>
      <c r="F29" s="261">
        <f>(250*0.25)*F28</f>
        <v>42076.20157192196</v>
      </c>
      <c r="G29" s="257"/>
      <c r="J29" s="258"/>
    </row>
    <row r="30" spans="1:7" s="16" customFormat="1" ht="12.75">
      <c r="A30" s="32" t="s">
        <v>19</v>
      </c>
      <c r="B30" s="254">
        <f>B28*1</f>
        <v>1015.0536205951039</v>
      </c>
      <c r="C30" s="254">
        <f>C28*1</f>
        <v>1184.2377328808043</v>
      </c>
      <c r="D30" s="255">
        <f>D28*1</f>
        <v>1361.289679910604</v>
      </c>
      <c r="E30" s="256">
        <f>E28*1</f>
        <v>1147.0564055748112</v>
      </c>
      <c r="F30" s="256">
        <f>F28*1</f>
        <v>673.2192251507514</v>
      </c>
      <c r="G30" s="257">
        <f>SUM(B30:F30)</f>
        <v>5380.856664112074</v>
      </c>
    </row>
    <row r="31" spans="1:7" s="16" customFormat="1" ht="12.75">
      <c r="A31" s="262" t="s">
        <v>57</v>
      </c>
      <c r="B31" s="263">
        <f>B30*(ERR!$D$109-ERR!$D$107)</f>
        <v>7426.089094502691</v>
      </c>
      <c r="C31" s="263">
        <f>C30*(ERR!$D$109-ERR!$D$107)</f>
        <v>8663.832860660948</v>
      </c>
      <c r="D31" s="264">
        <f>D30*(ERR!$D$109-ERR!$D$107)</f>
        <v>9959.137371005558</v>
      </c>
      <c r="E31" s="251">
        <f>E30*(ERR!$D$109-ERR!$D$107)</f>
        <v>8391.815852274443</v>
      </c>
      <c r="F31" s="251">
        <f>F30*(ERR!$D$109-ERR!$D$107)</f>
        <v>4925.243203576296</v>
      </c>
      <c r="G31" s="265"/>
    </row>
    <row r="32" spans="1:7" s="16" customFormat="1" ht="12.75">
      <c r="A32" s="2" t="s">
        <v>14</v>
      </c>
      <c r="G32" s="266"/>
    </row>
    <row r="33" s="16" customFormat="1" ht="12.75">
      <c r="G33" s="266"/>
    </row>
    <row r="34" spans="1:10" s="15" customFormat="1" ht="12.75">
      <c r="A34" s="178" t="s">
        <v>8</v>
      </c>
      <c r="B34" s="178"/>
      <c r="C34" s="178"/>
      <c r="D34" s="179"/>
      <c r="E34" s="180"/>
      <c r="F34" s="180"/>
      <c r="G34" s="267"/>
      <c r="H34" s="16"/>
      <c r="I34" s="16"/>
      <c r="J34" s="268"/>
    </row>
    <row r="35" spans="1:7" s="16" customFormat="1" ht="12.75">
      <c r="A35" s="32" t="s">
        <v>16</v>
      </c>
      <c r="B35" s="254">
        <f>B17*1</f>
        <v>38.064510772316396</v>
      </c>
      <c r="C35" s="254">
        <f>C17*1+B35*$B$93</f>
        <v>58.95812323889143</v>
      </c>
      <c r="D35" s="255">
        <f>D17*1+C35*$B$93</f>
        <v>68.05940872742723</v>
      </c>
      <c r="E35" s="256">
        <f>E17*1+D35*$B$93</f>
        <v>57.3527187733785</v>
      </c>
      <c r="F35" s="256">
        <f>F17*1+E35*$B$93</f>
        <v>25.53248301443963</v>
      </c>
      <c r="G35" s="257">
        <f>SUM(B35:F35)</f>
        <v>247.9672445264532</v>
      </c>
    </row>
    <row r="36" spans="1:10" s="16" customFormat="1" ht="12.75">
      <c r="A36" s="32" t="s">
        <v>23</v>
      </c>
      <c r="B36" s="259">
        <f>(2000*0.55)*B17</f>
        <v>41870.96184954804</v>
      </c>
      <c r="C36" s="259">
        <f>(2000*0.55)*C17</f>
        <v>64016.51632578961</v>
      </c>
      <c r="D36" s="260">
        <f>(2000*0.55)*D17</f>
        <v>73568.27088891434</v>
      </c>
      <c r="E36" s="261">
        <f>(2000*0.55)*E17</f>
        <v>61590.68365871295</v>
      </c>
      <c r="F36" s="261">
        <f>(2000*0.55)*F17</f>
        <v>26823.97150286927</v>
      </c>
      <c r="G36" s="257"/>
      <c r="J36" s="268"/>
    </row>
    <row r="37" spans="1:7" s="16" customFormat="1" ht="12.75">
      <c r="A37" s="32" t="s">
        <v>24</v>
      </c>
      <c r="B37" s="269">
        <f>B17*5</f>
        <v>190.32255386158198</v>
      </c>
      <c r="C37" s="269">
        <f>C17*5</f>
        <v>290.98416511722553</v>
      </c>
      <c r="D37" s="270">
        <f>D17*5</f>
        <v>334.40123131324697</v>
      </c>
      <c r="E37" s="271">
        <f>E17*5</f>
        <v>279.9576529941498</v>
      </c>
      <c r="F37" s="271">
        <f>F17*5</f>
        <v>121.9271431948603</v>
      </c>
      <c r="G37" s="257">
        <f>SUM(B37:F37)</f>
        <v>1217.5927464810645</v>
      </c>
    </row>
    <row r="38" spans="1:10" s="16" customFormat="1" ht="12.75">
      <c r="A38" s="32" t="s">
        <v>57</v>
      </c>
      <c r="B38" s="272">
        <f>B37*(ERR!$D$110-ERR!$D$107)</f>
        <v>1392.3917052192546</v>
      </c>
      <c r="C38" s="272">
        <f>C37*(ERR!$D$110-ERR!$D$107)</f>
        <v>2128.8277696927235</v>
      </c>
      <c r="D38" s="273">
        <f>D37*(ERR!$D$110-ERR!$D$107)</f>
        <v>2446.4651784480848</v>
      </c>
      <c r="E38" s="274">
        <f>E37*(ERR!$D$110-ERR!$D$107)</f>
        <v>2048.158276213583</v>
      </c>
      <c r="F38" s="274">
        <f>F37*(ERR!$D$110-ERR!$D$107)</f>
        <v>892.0137912245259</v>
      </c>
      <c r="G38" s="257"/>
      <c r="J38" s="38"/>
    </row>
    <row r="39" spans="1:7" s="16" customFormat="1" ht="12.75">
      <c r="A39" s="4" t="s">
        <v>41</v>
      </c>
      <c r="B39" s="32"/>
      <c r="C39" s="32"/>
      <c r="D39" s="275"/>
      <c r="E39" s="104"/>
      <c r="F39" s="104"/>
      <c r="G39" s="257"/>
    </row>
    <row r="40" spans="1:10" s="16" customFormat="1" ht="12.75">
      <c r="A40" s="32" t="s">
        <v>34</v>
      </c>
      <c r="B40" s="254">
        <f>B17*50</f>
        <v>1903.22553861582</v>
      </c>
      <c r="C40" s="254">
        <f>C17*50+B40*$B$94</f>
        <v>3005.002928103046</v>
      </c>
      <c r="D40" s="255">
        <f>D17*50+C40*$B$94</f>
        <v>3494.2624595376224</v>
      </c>
      <c r="E40" s="256">
        <f>E17*50+D40*$B$94</f>
        <v>2974.2896529183786</v>
      </c>
      <c r="F40" s="256">
        <f>F17*50+E40*$B$94</f>
        <v>1367.985914594522</v>
      </c>
      <c r="G40" s="257">
        <f>SUM(B40:F40)</f>
        <v>12744.766493769388</v>
      </c>
      <c r="J40" s="141"/>
    </row>
    <row r="41" spans="1:10" s="16" customFormat="1" ht="12.75">
      <c r="A41" s="262" t="s">
        <v>20</v>
      </c>
      <c r="B41" s="276">
        <f>(250*0.25)*B40</f>
        <v>118951.59616348875</v>
      </c>
      <c r="C41" s="276">
        <f>(250*0.25)*C40</f>
        <v>187812.68300644038</v>
      </c>
      <c r="D41" s="277">
        <f>(250*0.25)*D40</f>
        <v>218391.4037211014</v>
      </c>
      <c r="E41" s="278">
        <f>(250*0.25)*E40</f>
        <v>185893.10330739865</v>
      </c>
      <c r="F41" s="278">
        <f>(250*0.25)*F40</f>
        <v>85499.11966215762</v>
      </c>
      <c r="G41" s="265"/>
      <c r="J41" s="279"/>
    </row>
    <row r="42" spans="1:7" s="16" customFormat="1" ht="12.75">
      <c r="A42" s="2" t="s">
        <v>15</v>
      </c>
      <c r="G42" s="266"/>
    </row>
    <row r="43" s="16" customFormat="1" ht="12.75">
      <c r="G43" s="266"/>
    </row>
    <row r="44" spans="1:7" s="15" customFormat="1" ht="12.75">
      <c r="A44" s="178" t="s">
        <v>27</v>
      </c>
      <c r="B44" s="178"/>
      <c r="C44" s="178"/>
      <c r="D44" s="178"/>
      <c r="E44" s="179"/>
      <c r="F44" s="180"/>
      <c r="G44" s="267"/>
    </row>
    <row r="45" spans="1:7" s="16" customFormat="1" ht="12.75">
      <c r="A45" s="32" t="s">
        <v>28</v>
      </c>
      <c r="B45" s="254">
        <f>B18*1</f>
        <v>25.376340514877597</v>
      </c>
      <c r="C45" s="254">
        <f>C18*1+B45*$B$95</f>
        <v>39.30541549259428</v>
      </c>
      <c r="D45" s="254">
        <f>D18*1+C45*$B$95</f>
        <v>45.37293915161815</v>
      </c>
      <c r="E45" s="255">
        <f>E18*1+D45*$B$95</f>
        <v>38.235145848919</v>
      </c>
      <c r="F45" s="256">
        <f>F18*1+E45*$B$95</f>
        <v>17.021655342959754</v>
      </c>
      <c r="G45" s="257">
        <f>SUM(B45:F45)</f>
        <v>165.31149635096875</v>
      </c>
    </row>
    <row r="46" spans="1:7" s="16" customFormat="1" ht="12.75">
      <c r="A46" s="32" t="s">
        <v>29</v>
      </c>
      <c r="B46" s="259">
        <f>(4000*0.75)*B45</f>
        <v>76129.0215446328</v>
      </c>
      <c r="C46" s="259">
        <f>(4000*0.75)*C45</f>
        <v>117916.24647778283</v>
      </c>
      <c r="D46" s="259">
        <f>(4000*0.75)*D45</f>
        <v>136118.81745485443</v>
      </c>
      <c r="E46" s="260">
        <f>(4000*0.75)*E45</f>
        <v>114705.43754675699</v>
      </c>
      <c r="F46" s="261">
        <f>(4000*0.75)*F45</f>
        <v>51064.96602887926</v>
      </c>
      <c r="G46" s="257"/>
    </row>
    <row r="47" spans="1:7" s="16" customFormat="1" ht="12.75">
      <c r="A47" s="32" t="s">
        <v>30</v>
      </c>
      <c r="B47" s="254">
        <f>B45*10</f>
        <v>253.76340514877597</v>
      </c>
      <c r="C47" s="254">
        <f>C45*10</f>
        <v>393.0541549259428</v>
      </c>
      <c r="D47" s="254">
        <f>D45*10</f>
        <v>453.72939151618147</v>
      </c>
      <c r="E47" s="255">
        <f>E45*10</f>
        <v>382.35145848918995</v>
      </c>
      <c r="F47" s="256">
        <f>F45*10</f>
        <v>170.21655342959752</v>
      </c>
      <c r="G47" s="257">
        <f>SUM(B47:F47)</f>
        <v>1653.1149635096879</v>
      </c>
    </row>
    <row r="48" spans="1:7" s="16" customFormat="1" ht="12.75">
      <c r="A48" s="32" t="s">
        <v>57</v>
      </c>
      <c r="B48" s="280">
        <f>B47*(ERR!$D$111-ERR!$D$107)</f>
        <v>1856.5222736256728</v>
      </c>
      <c r="C48" s="280">
        <f>C47*(ERR!$D$111-ERR!$D$107)</f>
        <v>2875.5674717294773</v>
      </c>
      <c r="D48" s="280">
        <f>D47*(ERR!$D$111-ERR!$D$107)</f>
        <v>3319.4649206987024</v>
      </c>
      <c r="E48" s="281">
        <f>E47*(ERR!$D$111-ERR!$D$107)</f>
        <v>2797.2670000320845</v>
      </c>
      <c r="F48" s="282">
        <f>F47*(ERR!$D$111-ERR!$D$107)</f>
        <v>1245.2970616333428</v>
      </c>
      <c r="G48" s="257"/>
    </row>
    <row r="49" spans="1:7" s="16" customFormat="1" ht="12.75">
      <c r="A49" s="4" t="s">
        <v>42</v>
      </c>
      <c r="B49" s="32"/>
      <c r="C49" s="32"/>
      <c r="D49" s="32"/>
      <c r="E49" s="275"/>
      <c r="F49" s="104"/>
      <c r="G49" s="257"/>
    </row>
    <row r="50" spans="1:7" s="16" customFormat="1" ht="12.75">
      <c r="A50" s="32" t="s">
        <v>21</v>
      </c>
      <c r="B50" s="254">
        <f>B45*100</f>
        <v>2537.6340514877597</v>
      </c>
      <c r="C50" s="254">
        <f>C45*100+B50*$B$96</f>
        <v>4057.423251833816</v>
      </c>
      <c r="D50" s="254">
        <f>D45*100+C50*$B$96</f>
        <v>4740.165077753505</v>
      </c>
      <c r="E50" s="255">
        <f>E45*100+D50*$B$96</f>
        <v>4060.522838779575</v>
      </c>
      <c r="F50" s="256">
        <f>F45*100+E50*$B$96</f>
        <v>1905.1916762349542</v>
      </c>
      <c r="G50" s="257">
        <f>SUM(B50:F50)</f>
        <v>17300.93689608961</v>
      </c>
    </row>
    <row r="51" spans="1:7" s="16" customFormat="1" ht="12.75">
      <c r="A51" s="262" t="s">
        <v>20</v>
      </c>
      <c r="B51" s="276">
        <f>(250*0.25)*B50</f>
        <v>158602.12821798498</v>
      </c>
      <c r="C51" s="276">
        <f>(250*0.25)*C50</f>
        <v>253588.95323961347</v>
      </c>
      <c r="D51" s="276">
        <f>(250*0.25)*D50</f>
        <v>296260.31735959405</v>
      </c>
      <c r="E51" s="277">
        <f>(250*0.25)*E50</f>
        <v>253782.67742372345</v>
      </c>
      <c r="F51" s="278">
        <f>(250*0.25)*F50</f>
        <v>119074.47976468464</v>
      </c>
      <c r="G51" s="251"/>
    </row>
    <row r="52" s="16" customFormat="1" ht="12.75">
      <c r="A52" s="2" t="s">
        <v>22</v>
      </c>
    </row>
    <row r="53" s="16" customFormat="1" ht="12.75"/>
    <row r="54" spans="1:8" s="16" customFormat="1" ht="12.75">
      <c r="A54" s="252"/>
      <c r="B54" s="178" t="s">
        <v>0</v>
      </c>
      <c r="C54" s="178" t="s">
        <v>1</v>
      </c>
      <c r="D54" s="178" t="s">
        <v>2</v>
      </c>
      <c r="E54" s="179" t="s">
        <v>3</v>
      </c>
      <c r="F54" s="180" t="s">
        <v>4</v>
      </c>
      <c r="G54" s="180" t="s">
        <v>11</v>
      </c>
      <c r="H54" s="253"/>
    </row>
    <row r="55" spans="1:8" s="16" customFormat="1" ht="12.75">
      <c r="A55" s="32" t="s">
        <v>70</v>
      </c>
      <c r="B55" s="259">
        <f>B3</f>
        <v>2469014</v>
      </c>
      <c r="C55" s="259">
        <f>C3</f>
        <v>3304955</v>
      </c>
      <c r="D55" s="259">
        <f>D3</f>
        <v>3962834</v>
      </c>
      <c r="E55" s="260">
        <f>E3</f>
        <v>3012174</v>
      </c>
      <c r="F55" s="261">
        <f>F3</f>
        <v>2203871</v>
      </c>
      <c r="G55" s="104"/>
      <c r="H55" s="104"/>
    </row>
    <row r="56" spans="1:8" s="195" customFormat="1" ht="12.75">
      <c r="A56" s="187" t="s">
        <v>73</v>
      </c>
      <c r="B56" s="187"/>
      <c r="C56" s="187"/>
      <c r="D56" s="187"/>
      <c r="E56" s="283"/>
      <c r="F56" s="191"/>
      <c r="G56" s="191"/>
      <c r="H56" s="191"/>
    </row>
    <row r="57" spans="1:8" s="75" customFormat="1" ht="12.75">
      <c r="A57" s="196" t="s">
        <v>74</v>
      </c>
      <c r="B57" s="197">
        <v>500000</v>
      </c>
      <c r="C57" s="197">
        <v>1000000</v>
      </c>
      <c r="D57" s="197">
        <v>1500000</v>
      </c>
      <c r="E57" s="198">
        <v>1000000</v>
      </c>
      <c r="F57" s="199">
        <v>1000000</v>
      </c>
      <c r="G57" s="200">
        <f>SUM(B57:F57)</f>
        <v>5000000</v>
      </c>
      <c r="H57" s="201"/>
    </row>
    <row r="58" spans="1:8" s="75" customFormat="1" ht="12.75">
      <c r="A58" s="196" t="s">
        <v>77</v>
      </c>
      <c r="B58" s="284">
        <f>(1*B57)/B55</f>
        <v>0.20250998981779772</v>
      </c>
      <c r="C58" s="284">
        <f>(1*C57)/C55</f>
        <v>0.30257598061093116</v>
      </c>
      <c r="D58" s="284">
        <f>(1*D57)/D55</f>
        <v>0.3785169906183302</v>
      </c>
      <c r="E58" s="285">
        <f>(1*E57)/E55</f>
        <v>0.33198613360317164</v>
      </c>
      <c r="F58" s="286">
        <f>(1*F57)/F55</f>
        <v>0.45374706595803477</v>
      </c>
      <c r="G58" s="201"/>
      <c r="H58" s="201"/>
    </row>
    <row r="59" spans="1:8" s="75" customFormat="1" ht="12.75">
      <c r="A59" s="196" t="s">
        <v>72</v>
      </c>
      <c r="B59" s="197">
        <f>B8</f>
        <v>663713</v>
      </c>
      <c r="C59" s="197">
        <f>C8</f>
        <v>542188</v>
      </c>
      <c r="D59" s="197">
        <f>D8</f>
        <v>454863</v>
      </c>
      <c r="E59" s="198">
        <f>E8</f>
        <v>361288</v>
      </c>
      <c r="F59" s="199">
        <f>F8</f>
        <v>355288</v>
      </c>
      <c r="G59" s="200">
        <f>SUM(B59:F59)</f>
        <v>2377340</v>
      </c>
      <c r="H59" s="201"/>
    </row>
    <row r="60" spans="1:9" s="75" customFormat="1" ht="12.75">
      <c r="A60" s="196" t="s">
        <v>78</v>
      </c>
      <c r="B60" s="287">
        <f>(B59*0.2135)+B57</f>
        <v>641702.7255</v>
      </c>
      <c r="C60" s="287">
        <f>(C59*0.2135)+C57</f>
        <v>1115757.138</v>
      </c>
      <c r="D60" s="287">
        <f>(D59*0.2135)+D57</f>
        <v>1597113.2505</v>
      </c>
      <c r="E60" s="288">
        <f>(E59*0.2135)+E57</f>
        <v>1077134.988</v>
      </c>
      <c r="F60" s="200">
        <f>(F59*0.2135)+F57</f>
        <v>1075853.988</v>
      </c>
      <c r="G60" s="201"/>
      <c r="H60" s="200">
        <f>SUM(B60:F60)</f>
        <v>5507562.09</v>
      </c>
      <c r="I60" s="289"/>
    </row>
    <row r="61" spans="1:8" s="75" customFormat="1" ht="12.75">
      <c r="A61" s="290" t="s">
        <v>79</v>
      </c>
      <c r="B61" s="291">
        <f>B60/250000</f>
        <v>2.566810902</v>
      </c>
      <c r="C61" s="291">
        <f>C60/250000</f>
        <v>4.463028552</v>
      </c>
      <c r="D61" s="291">
        <f>D60/250000</f>
        <v>6.388453002</v>
      </c>
      <c r="E61" s="292">
        <f>E60/250000</f>
        <v>4.308539951999999</v>
      </c>
      <c r="F61" s="293">
        <f>F60/250000</f>
        <v>4.303415952</v>
      </c>
      <c r="G61" s="294"/>
      <c r="H61" s="294"/>
    </row>
    <row r="62" spans="2:6" s="75" customFormat="1" ht="12.75">
      <c r="B62" s="289"/>
      <c r="C62" s="289"/>
      <c r="D62" s="289"/>
      <c r="E62" s="289"/>
      <c r="F62" s="289"/>
    </row>
    <row r="63" spans="1:7" s="15" customFormat="1" ht="12.75">
      <c r="A63" s="178" t="s">
        <v>80</v>
      </c>
      <c r="B63" s="178"/>
      <c r="C63" s="295"/>
      <c r="D63" s="295"/>
      <c r="E63" s="295"/>
      <c r="F63" s="180"/>
      <c r="G63" s="180"/>
    </row>
    <row r="64" spans="1:7" s="16" customFormat="1" ht="12.75">
      <c r="A64" s="32" t="s">
        <v>31</v>
      </c>
      <c r="B64" s="254">
        <f>B61*1</f>
        <v>2.566810902</v>
      </c>
      <c r="C64" s="296">
        <f>C61*1+B64*$B$97</f>
        <v>4.51436477004</v>
      </c>
      <c r="D64" s="297">
        <f>D61*1+C64*$B$97</f>
        <v>6.4787402974008</v>
      </c>
      <c r="E64" s="298">
        <f>E61*1+D64*$B$97</f>
        <v>4.438114757948015</v>
      </c>
      <c r="F64" s="256">
        <f>F61*1+E64*$B$97</f>
        <v>4.39217824715896</v>
      </c>
      <c r="G64" s="256">
        <f>SUM(B64:F64)</f>
        <v>22.390208974547775</v>
      </c>
    </row>
    <row r="65" spans="1:7" s="16" customFormat="1" ht="12.75">
      <c r="A65" s="32" t="s">
        <v>37</v>
      </c>
      <c r="B65" s="280">
        <f>(24000*0.35)*B64</f>
        <v>21561.2115768</v>
      </c>
      <c r="C65" s="280">
        <f>(24000*0.35)*C64</f>
        <v>37920.664068336</v>
      </c>
      <c r="D65" s="281">
        <f>(24000*0.35)*D64</f>
        <v>54421.41849816672</v>
      </c>
      <c r="E65" s="282">
        <f>(24000*0.35)*E64</f>
        <v>37280.16396676333</v>
      </c>
      <c r="F65" s="282">
        <f>(24000*0.35)*F64</f>
        <v>36894.297276135265</v>
      </c>
      <c r="G65" s="282"/>
    </row>
    <row r="66" spans="1:7" s="16" customFormat="1" ht="12.75">
      <c r="A66" s="32" t="s">
        <v>32</v>
      </c>
      <c r="B66" s="254">
        <f>20*B61</f>
        <v>51.33621804</v>
      </c>
      <c r="C66" s="254">
        <f>20*C61</f>
        <v>89.26057104</v>
      </c>
      <c r="D66" s="255">
        <f>20*D61</f>
        <v>127.76906004</v>
      </c>
      <c r="E66" s="256">
        <f>20*E61</f>
        <v>86.17079903999999</v>
      </c>
      <c r="F66" s="256">
        <f>20*F61</f>
        <v>86.06831904</v>
      </c>
      <c r="G66" s="256">
        <f>SUM(B66:F66)</f>
        <v>440.60496720000003</v>
      </c>
    </row>
    <row r="67" spans="1:7" s="16" customFormat="1" ht="12.75">
      <c r="A67" s="32" t="s">
        <v>57</v>
      </c>
      <c r="B67" s="280">
        <f>B66*(ERR!$D$112-ERR!$D$107)</f>
        <v>375.57358666072344</v>
      </c>
      <c r="C67" s="280">
        <f>C66*(ERR!$D$112-ERR!$D$107)</f>
        <v>653.0265394064681</v>
      </c>
      <c r="D67" s="281">
        <f>D66*(ERR!$D$112-ERR!$D$107)</f>
        <v>934.7530062713618</v>
      </c>
      <c r="E67" s="282">
        <f>E66*(ERR!$D$112-ERR!$D$107)</f>
        <v>630.4218989341276</v>
      </c>
      <c r="F67" s="282">
        <f>F66*(ERR!$D$112-ERR!$D$107)</f>
        <v>629.6721596149788</v>
      </c>
      <c r="G67" s="282"/>
    </row>
    <row r="68" spans="1:7" s="16" customFormat="1" ht="12.75">
      <c r="A68" s="4" t="s">
        <v>35</v>
      </c>
      <c r="B68" s="280"/>
      <c r="C68" s="280"/>
      <c r="D68" s="281"/>
      <c r="E68" s="282"/>
      <c r="F68" s="282"/>
      <c r="G68" s="282"/>
    </row>
    <row r="69" spans="1:7" s="16" customFormat="1" ht="12.75">
      <c r="A69" s="32" t="s">
        <v>38</v>
      </c>
      <c r="B69" s="254">
        <f>1000*B64</f>
        <v>2566.8109019999997</v>
      </c>
      <c r="C69" s="254">
        <f>1000*C64+B69*$B$98</f>
        <v>4642.7053151400005</v>
      </c>
      <c r="D69" s="255">
        <f>1000*D64+C69*$B$98</f>
        <v>6710.8755631578</v>
      </c>
      <c r="E69" s="256">
        <f>1000*E64+D69*$B$98</f>
        <v>4773.658536105905</v>
      </c>
      <c r="F69" s="256">
        <f>1000*F64+E69*$B$98</f>
        <v>4630.861173964256</v>
      </c>
      <c r="G69" s="256">
        <f>SUM(B69:F69)</f>
        <v>23324.91149036796</v>
      </c>
    </row>
    <row r="70" spans="1:7" s="16" customFormat="1" ht="12.75">
      <c r="A70" s="262" t="s">
        <v>36</v>
      </c>
      <c r="B70" s="299">
        <f>(250*0.25)*B69</f>
        <v>160425.681375</v>
      </c>
      <c r="C70" s="299">
        <f>(250*0.25)*C69</f>
        <v>290169.08219625003</v>
      </c>
      <c r="D70" s="300">
        <f>(250*0.25)*D69</f>
        <v>419429.7226973625</v>
      </c>
      <c r="E70" s="301">
        <f>(250*0.25)*E69</f>
        <v>298353.65850661905</v>
      </c>
      <c r="F70" s="301">
        <f>(250*0.25)*F69</f>
        <v>289428.82337276597</v>
      </c>
      <c r="G70" s="302"/>
    </row>
    <row r="71" spans="1:7" s="16" customFormat="1" ht="12.75">
      <c r="A71" s="2" t="s">
        <v>33</v>
      </c>
      <c r="G71" s="38"/>
    </row>
    <row r="72" s="16" customFormat="1" ht="12.75">
      <c r="G72" s="38"/>
    </row>
    <row r="73" spans="1:8" s="16" customFormat="1" ht="12.75">
      <c r="A73" s="19" t="s">
        <v>70</v>
      </c>
      <c r="B73" s="182">
        <f>B29</f>
        <v>63440.851287194</v>
      </c>
      <c r="C73" s="182">
        <f>C29</f>
        <v>74014.85830505026</v>
      </c>
      <c r="D73" s="182">
        <f>D29</f>
        <v>85080.60499441276</v>
      </c>
      <c r="E73" s="183">
        <f>E29</f>
        <v>71691.0253484257</v>
      </c>
      <c r="F73" s="184">
        <f>F29</f>
        <v>42076.20157192196</v>
      </c>
      <c r="G73" s="185"/>
      <c r="H73" s="186"/>
    </row>
    <row r="74" spans="1:8" s="16" customFormat="1" ht="12.75">
      <c r="A74" s="32" t="s">
        <v>81</v>
      </c>
      <c r="B74" s="259">
        <v>251226</v>
      </c>
      <c r="C74" s="259">
        <v>208692</v>
      </c>
      <c r="D74" s="259">
        <v>171846</v>
      </c>
      <c r="E74" s="260">
        <v>132786</v>
      </c>
      <c r="F74" s="261">
        <v>130633</v>
      </c>
      <c r="G74" s="282"/>
      <c r="H74" s="104"/>
    </row>
    <row r="75" spans="1:8" s="15" customFormat="1" ht="12.75">
      <c r="A75" s="187" t="s">
        <v>82</v>
      </c>
      <c r="B75" s="217"/>
      <c r="C75" s="217"/>
      <c r="D75" s="217"/>
      <c r="E75" s="303"/>
      <c r="F75" s="304"/>
      <c r="G75" s="304"/>
      <c r="H75" s="304"/>
    </row>
    <row r="76" spans="1:8" s="16" customFormat="1" ht="12.75">
      <c r="A76" s="32" t="s">
        <v>83</v>
      </c>
      <c r="B76" s="32">
        <f>78000</f>
        <v>78000</v>
      </c>
      <c r="C76" s="32">
        <f>74000</f>
        <v>74000</v>
      </c>
      <c r="D76" s="32">
        <v>73000</v>
      </c>
      <c r="E76" s="275">
        <v>73000</v>
      </c>
      <c r="F76" s="104">
        <v>67000</v>
      </c>
      <c r="G76" s="104"/>
      <c r="H76" s="104"/>
    </row>
    <row r="77" spans="1:8" s="16" customFormat="1" ht="12.75">
      <c r="A77" s="32" t="s">
        <v>84</v>
      </c>
      <c r="B77" s="305">
        <f>(B76/B73)*0.01</f>
        <v>0.012294916984467526</v>
      </c>
      <c r="C77" s="305">
        <f>(C76/C73)*0.01</f>
        <v>0.009997992524016053</v>
      </c>
      <c r="D77" s="305">
        <f>(D76/D73)*0.01</f>
        <v>0.008580098837425275</v>
      </c>
      <c r="E77" s="306">
        <f>(E76/E73)*0.01</f>
        <v>0.01018258556705146</v>
      </c>
      <c r="F77" s="307">
        <f>(F76/F73)*0.01</f>
        <v>0.015923490594909127</v>
      </c>
      <c r="G77" s="104"/>
      <c r="H77" s="104"/>
    </row>
    <row r="78" spans="1:8" s="16" customFormat="1" ht="12.75">
      <c r="A78" s="32" t="s">
        <v>85</v>
      </c>
      <c r="B78" s="259">
        <f>(B59*B77)+B76</f>
        <v>86160.2962365119</v>
      </c>
      <c r="C78" s="259">
        <f>(C59*C77)+C76</f>
        <v>79420.79157061121</v>
      </c>
      <c r="D78" s="259">
        <f>(D59*D77)+D76</f>
        <v>76902.76949748777</v>
      </c>
      <c r="E78" s="260">
        <f>(E59*E77)+E76</f>
        <v>76678.8459743489</v>
      </c>
      <c r="F78" s="261">
        <f>(F59*F77)+F76</f>
        <v>72657.42512648407</v>
      </c>
      <c r="G78" s="282">
        <f>SUM(B78:F78)</f>
        <v>391820.12840544386</v>
      </c>
      <c r="H78" s="104"/>
    </row>
    <row r="79" spans="1:8" s="16" customFormat="1" ht="12.75">
      <c r="A79" s="32" t="s">
        <v>86</v>
      </c>
      <c r="B79" s="259">
        <f>(B77*B74)</f>
        <v>3088.8028143398387</v>
      </c>
      <c r="C79" s="259">
        <f>C77*B74</f>
        <v>2511.755669838457</v>
      </c>
      <c r="D79" s="259">
        <f>D77*D74</f>
        <v>1474.4556648161838</v>
      </c>
      <c r="E79" s="260">
        <f>E77*E74</f>
        <v>1352.1048071064952</v>
      </c>
      <c r="F79" s="261">
        <f>F77*F74</f>
        <v>2080.1333468847643</v>
      </c>
      <c r="G79" s="282"/>
      <c r="H79" s="104"/>
    </row>
    <row r="80" spans="1:9" s="16" customFormat="1" ht="12.75">
      <c r="A80" s="262" t="s">
        <v>87</v>
      </c>
      <c r="B80" s="276">
        <f>SUM(B78:B79)</f>
        <v>89249.09905085174</v>
      </c>
      <c r="C80" s="276">
        <f>SUM(C78:C79)</f>
        <v>81932.54724044967</v>
      </c>
      <c r="D80" s="276">
        <f>SUM(D78:D79)</f>
        <v>78377.22516230395</v>
      </c>
      <c r="E80" s="277">
        <f>SUM(E78:E79)</f>
        <v>78030.9507814554</v>
      </c>
      <c r="F80" s="278">
        <f>SUM(F78:F79)</f>
        <v>74737.55847336883</v>
      </c>
      <c r="G80" s="251"/>
      <c r="H80" s="251">
        <f>SUM(B80:F80)</f>
        <v>402327.38070842955</v>
      </c>
      <c r="I80" s="38"/>
    </row>
    <row r="81" s="16" customFormat="1" ht="12.75"/>
    <row r="82" spans="1:8" s="15" customFormat="1" ht="12.75">
      <c r="A82" s="178" t="s">
        <v>88</v>
      </c>
      <c r="B82" s="178"/>
      <c r="C82" s="178"/>
      <c r="D82" s="178"/>
      <c r="E82" s="179"/>
      <c r="F82" s="180"/>
      <c r="G82" s="180"/>
      <c r="H82" s="180"/>
    </row>
    <row r="83" spans="1:8" s="16" customFormat="1" ht="12.75">
      <c r="A83" s="32" t="s">
        <v>39</v>
      </c>
      <c r="B83" s="308">
        <f>B80/70000</f>
        <v>1.274987129297882</v>
      </c>
      <c r="C83" s="308">
        <f>C80/70000</f>
        <v>1.1704649605778523</v>
      </c>
      <c r="D83" s="308">
        <f>D80/70000</f>
        <v>1.1196746451757706</v>
      </c>
      <c r="E83" s="309">
        <f>E80/70000</f>
        <v>1.1147278683065056</v>
      </c>
      <c r="F83" s="310">
        <f>F80/70000</f>
        <v>1.0676794067624118</v>
      </c>
      <c r="G83" s="104"/>
      <c r="H83" s="104"/>
    </row>
    <row r="84" spans="1:8" s="16" customFormat="1" ht="12.75">
      <c r="A84" s="32" t="s">
        <v>40</v>
      </c>
      <c r="B84" s="254">
        <f>B88*$G$84</f>
        <v>166887.5</v>
      </c>
      <c r="C84" s="254">
        <f>C88*$G$84</f>
        <v>83443.75</v>
      </c>
      <c r="D84" s="254">
        <f>D88*$G$84</f>
        <v>50066.25000000001</v>
      </c>
      <c r="E84" s="255">
        <f>E88*$G$84</f>
        <v>23364.249999999985</v>
      </c>
      <c r="F84" s="256">
        <f>F88*$G$84</f>
        <v>10013.25000000001</v>
      </c>
      <c r="G84" s="311">
        <f>ERR!$D$115*ERR!$D$116</f>
        <v>333775</v>
      </c>
      <c r="H84" s="104" t="s">
        <v>104</v>
      </c>
    </row>
    <row r="85" spans="1:10" s="16" customFormat="1" ht="12.75">
      <c r="A85" s="32" t="s">
        <v>12</v>
      </c>
      <c r="B85" s="312">
        <f>(250*0.01)*B84</f>
        <v>417218.75</v>
      </c>
      <c r="C85" s="312">
        <f>(250*0.01)*C84</f>
        <v>208609.375</v>
      </c>
      <c r="D85" s="312">
        <f>(250*0.01)*D84</f>
        <v>125165.62500000001</v>
      </c>
      <c r="E85" s="313">
        <f>(250*0.01)*E84</f>
        <v>58410.62499999996</v>
      </c>
      <c r="F85" s="314">
        <f>(250*0.01)*F84</f>
        <v>25033.125000000022</v>
      </c>
      <c r="G85" s="314"/>
      <c r="H85" s="104"/>
      <c r="J85" s="38"/>
    </row>
    <row r="86" spans="1:8" s="16" customFormat="1" ht="12.75">
      <c r="A86" s="4" t="s">
        <v>13</v>
      </c>
      <c r="B86" s="32"/>
      <c r="C86" s="32"/>
      <c r="D86" s="32"/>
      <c r="E86" s="275"/>
      <c r="F86" s="104"/>
      <c r="G86" s="104"/>
      <c r="H86" s="104"/>
    </row>
    <row r="87" spans="1:8" s="16" customFormat="1" ht="12.75">
      <c r="A87" s="32" t="s">
        <v>106</v>
      </c>
      <c r="B87" s="315">
        <v>0.5</v>
      </c>
      <c r="C87" s="315">
        <v>0.75</v>
      </c>
      <c r="D87" s="315">
        <v>0.9</v>
      </c>
      <c r="E87" s="316">
        <v>0.97</v>
      </c>
      <c r="F87" s="317">
        <v>1</v>
      </c>
      <c r="G87" s="104"/>
      <c r="H87" s="104"/>
    </row>
    <row r="88" spans="1:8" s="16" customFormat="1" ht="12.75">
      <c r="A88" s="32" t="s">
        <v>107</v>
      </c>
      <c r="B88" s="315">
        <f>B87</f>
        <v>0.5</v>
      </c>
      <c r="C88" s="315">
        <f>C87-B87</f>
        <v>0.25</v>
      </c>
      <c r="D88" s="315">
        <f>D87-C87</f>
        <v>0.15000000000000002</v>
      </c>
      <c r="E88" s="316">
        <f>E87-D87</f>
        <v>0.06999999999999995</v>
      </c>
      <c r="F88" s="317">
        <f>F87-E87</f>
        <v>0.030000000000000027</v>
      </c>
      <c r="G88" s="104"/>
      <c r="H88" s="104"/>
    </row>
    <row r="89" spans="1:8" s="16" customFormat="1" ht="12.75">
      <c r="A89" s="262"/>
      <c r="B89" s="318">
        <f>B84</f>
        <v>166887.5</v>
      </c>
      <c r="C89" s="318">
        <f>B89+C84</f>
        <v>250331.25</v>
      </c>
      <c r="D89" s="318">
        <f>C89+D84</f>
        <v>300397.5</v>
      </c>
      <c r="E89" s="319">
        <f>D89+E84</f>
        <v>323761.75</v>
      </c>
      <c r="F89" s="320">
        <f>E89+F84</f>
        <v>333775</v>
      </c>
      <c r="G89" s="321"/>
      <c r="H89" s="321"/>
    </row>
    <row r="90" s="16" customFormat="1" ht="12.75"/>
    <row r="91" spans="1:6" s="54" customFormat="1" ht="13.5" thickBot="1">
      <c r="A91" s="15" t="s">
        <v>110</v>
      </c>
      <c r="B91" s="322"/>
      <c r="C91" s="323" t="s">
        <v>125</v>
      </c>
      <c r="D91" s="324"/>
      <c r="E91" s="324"/>
      <c r="F91" s="325"/>
    </row>
    <row r="92" spans="1:6" ht="12.75">
      <c r="A92" s="54"/>
      <c r="B92" s="326">
        <f>'ERR &amp; Sensitivity Analysis'!H14</f>
        <v>0.02</v>
      </c>
      <c r="C92" s="327" t="s">
        <v>111</v>
      </c>
      <c r="D92" s="327"/>
      <c r="E92" s="328"/>
      <c r="F92" s="329"/>
    </row>
    <row r="93" spans="2:6" ht="12.75">
      <c r="B93" s="326">
        <f>'ERR &amp; Sensitivity Analysis'!H14</f>
        <v>0.02</v>
      </c>
      <c r="C93" s="168" t="s">
        <v>109</v>
      </c>
      <c r="D93" s="168"/>
      <c r="E93" s="168"/>
      <c r="F93" s="330"/>
    </row>
    <row r="94" spans="2:6" ht="12.75">
      <c r="B94" s="326">
        <f>'ERR &amp; Sensitivity Analysis'!H15</f>
        <v>0.05</v>
      </c>
      <c r="C94" s="327" t="s">
        <v>112</v>
      </c>
      <c r="D94" s="327"/>
      <c r="E94" s="327"/>
      <c r="F94" s="331"/>
    </row>
    <row r="95" spans="2:6" ht="12.75">
      <c r="B95" s="326">
        <f>'ERR &amp; Sensitivity Analysis'!H14</f>
        <v>0.02</v>
      </c>
      <c r="C95" s="168" t="s">
        <v>113</v>
      </c>
      <c r="D95" s="168"/>
      <c r="E95" s="168"/>
      <c r="F95" s="330"/>
    </row>
    <row r="96" spans="2:6" ht="12.75">
      <c r="B96" s="326">
        <f>'ERR &amp; Sensitivity Analysis'!H15</f>
        <v>0.05</v>
      </c>
      <c r="C96" s="327" t="s">
        <v>114</v>
      </c>
      <c r="D96" s="327"/>
      <c r="E96" s="327"/>
      <c r="F96" s="331"/>
    </row>
    <row r="97" spans="2:6" ht="12.75">
      <c r="B97" s="326">
        <f>'ERR &amp; Sensitivity Analysis'!H14</f>
        <v>0.02</v>
      </c>
      <c r="C97" s="168" t="s">
        <v>115</v>
      </c>
      <c r="D97" s="168"/>
      <c r="E97" s="168"/>
      <c r="F97" s="330"/>
    </row>
    <row r="98" spans="2:6" ht="12.75">
      <c r="B98" s="332">
        <f>'ERR &amp; Sensitivity Analysis'!H15</f>
        <v>0.05</v>
      </c>
      <c r="C98" s="327" t="s">
        <v>116</v>
      </c>
      <c r="D98" s="327"/>
      <c r="E98" s="327"/>
      <c r="F98" s="331"/>
    </row>
    <row r="99" ht="12.75">
      <c r="B99" s="333"/>
    </row>
  </sheetData>
  <sheetProtection/>
  <mergeCells count="1">
    <mergeCell ref="A1:D1"/>
  </mergeCells>
  <conditionalFormatting sqref="A1">
    <cfRule type="cellIs" priority="1" dxfId="1" operator="equal" stopIfTrue="1">
      <formula>0</formula>
    </cfRule>
    <cfRule type="cellIs" priority="2" dxfId="0" operator="notEqual" stopIfTrue="1">
      <formula>0</formula>
    </cfRule>
  </conditionalFormatting>
  <printOptions/>
  <pageMargins left="1.87" right="0.26" top="1.18" bottom="0.33" header="0.5" footer="0.35"/>
  <pageSetup horizontalDpi="600" verticalDpi="600" orientation="portrait" r:id="rId3"/>
  <rowBreaks count="1" manualBreakCount="1">
    <brk id="81" max="13" man="1"/>
  </rowBreaks>
  <legacyDrawing r:id="rId2"/>
</worksheet>
</file>

<file path=xl/worksheets/sheet6.xml><?xml version="1.0" encoding="utf-8"?>
<worksheet xmlns="http://schemas.openxmlformats.org/spreadsheetml/2006/main" xmlns:r="http://schemas.openxmlformats.org/officeDocument/2006/relationships">
  <sheetPr codeName="Sheet5">
    <pageSetUpPr fitToPage="1"/>
  </sheetPr>
  <dimension ref="A1:Y125"/>
  <sheetViews>
    <sheetView zoomScaleSheetLayoutView="100" zoomScalePageLayoutView="0" workbookViewId="0" topLeftCell="A1">
      <selection activeCell="A2" sqref="A2"/>
    </sheetView>
  </sheetViews>
  <sheetFormatPr defaultColWidth="9.140625" defaultRowHeight="12.75"/>
  <cols>
    <col min="1" max="1" width="13.00390625" style="16" customWidth="1"/>
    <col min="2" max="2" width="22.00390625" style="33" bestFit="1" customWidth="1"/>
    <col min="3" max="3" width="27.57421875" style="164" customWidth="1"/>
    <col min="4" max="4" width="14.57421875" style="16" customWidth="1"/>
    <col min="5" max="8" width="14.57421875" style="16" bestFit="1" customWidth="1"/>
    <col min="9" max="13" width="14.57421875" style="16" customWidth="1"/>
    <col min="14" max="15" width="16.28125" style="16" customWidth="1"/>
    <col min="16" max="16" width="9.140625" style="16" customWidth="1"/>
    <col min="17" max="17" width="17.28125" style="16" customWidth="1"/>
    <col min="18" max="18" width="16.28125" style="16" customWidth="1"/>
    <col min="19" max="19" width="11.00390625" style="16" bestFit="1" customWidth="1"/>
    <col min="20" max="20" width="11.140625" style="16" bestFit="1" customWidth="1"/>
    <col min="21" max="22" width="12.00390625" style="16" bestFit="1" customWidth="1"/>
    <col min="23" max="23" width="13.57421875" style="16" bestFit="1" customWidth="1"/>
    <col min="24" max="24" width="12.7109375" style="16" customWidth="1"/>
    <col min="25" max="25" width="12.00390625" style="16" bestFit="1" customWidth="1"/>
    <col min="26" max="16384" width="9.140625" style="16" customWidth="1"/>
  </cols>
  <sheetData>
    <row r="1" spans="1:24" s="5" customFormat="1" ht="12.75" customHeight="1">
      <c r="A1" s="459">
        <f>IF('ERR &amp; Sensitivity Analysis'!$J$10="N","Note: Current calculations are based on user input and are not the original MCC estimates.",IF('ERR &amp; Sensitivity Analysis'!$J$11="N","Note: Current calculations are based on user input and are not the original MCC estimates.",0))</f>
        <v>0</v>
      </c>
      <c r="B1" s="459"/>
      <c r="C1" s="459"/>
      <c r="D1" s="459"/>
      <c r="E1" s="459"/>
      <c r="N1" s="8" t="s">
        <v>138</v>
      </c>
      <c r="O1" s="9" t="s">
        <v>138</v>
      </c>
      <c r="Q1" s="10" t="s">
        <v>145</v>
      </c>
      <c r="R1" s="11"/>
      <c r="S1" s="11"/>
      <c r="T1" s="11"/>
      <c r="U1" s="11"/>
      <c r="V1" s="11"/>
      <c r="W1" s="11"/>
      <c r="X1" s="12"/>
    </row>
    <row r="2" spans="1:24" ht="12.75">
      <c r="A2" s="5"/>
      <c r="B2" s="6"/>
      <c r="C2" s="7"/>
      <c r="D2" s="13"/>
      <c r="E2" s="13"/>
      <c r="F2" s="13"/>
      <c r="G2" s="13"/>
      <c r="H2" s="14" t="s">
        <v>43</v>
      </c>
      <c r="I2" s="15"/>
      <c r="J2" s="15"/>
      <c r="K2" s="15"/>
      <c r="L2" s="15"/>
      <c r="M2" s="15"/>
      <c r="O2" s="17" t="s">
        <v>141</v>
      </c>
      <c r="Q2" s="18"/>
      <c r="R2" s="17" t="s">
        <v>142</v>
      </c>
      <c r="S2" s="19"/>
      <c r="T2" s="20"/>
      <c r="U2" s="20"/>
      <c r="V2" s="20"/>
      <c r="W2" s="20"/>
      <c r="X2" s="21"/>
    </row>
    <row r="3" spans="1:24" s="29" customFormat="1" ht="13.5" thickBot="1">
      <c r="A3" s="22" t="s">
        <v>172</v>
      </c>
      <c r="B3" s="23"/>
      <c r="C3" s="24"/>
      <c r="D3" s="25">
        <v>1</v>
      </c>
      <c r="E3" s="25">
        <v>2</v>
      </c>
      <c r="F3" s="25">
        <v>3</v>
      </c>
      <c r="G3" s="25">
        <v>4</v>
      </c>
      <c r="H3" s="25">
        <v>5</v>
      </c>
      <c r="I3" s="26">
        <v>6</v>
      </c>
      <c r="J3" s="26">
        <v>7</v>
      </c>
      <c r="K3" s="26">
        <v>8</v>
      </c>
      <c r="L3" s="26">
        <v>9</v>
      </c>
      <c r="M3" s="26">
        <v>10</v>
      </c>
      <c r="N3" s="27" t="s">
        <v>143</v>
      </c>
      <c r="O3" s="28">
        <v>0.12</v>
      </c>
      <c r="Q3" s="30" t="s">
        <v>139</v>
      </c>
      <c r="R3" s="31">
        <f>O3</f>
        <v>0.12</v>
      </c>
      <c r="S3" s="32"/>
      <c r="T3" s="16"/>
      <c r="U3" s="16"/>
      <c r="V3" s="16"/>
      <c r="W3" s="16"/>
      <c r="X3" s="21"/>
    </row>
    <row r="4" spans="3:24" ht="12.75">
      <c r="C4" s="34"/>
      <c r="Q4" s="35">
        <f>N16+N25+N35+N44</f>
        <v>21666445.387273</v>
      </c>
      <c r="R4" s="36">
        <f>O16+O25+O35+O44</f>
        <v>11056631.404778883</v>
      </c>
      <c r="S4" s="32" t="s">
        <v>135</v>
      </c>
      <c r="T4" s="20"/>
      <c r="U4" s="20"/>
      <c r="V4" s="20"/>
      <c r="W4" s="20"/>
      <c r="X4" s="21"/>
    </row>
    <row r="5" spans="1:24" ht="12.75">
      <c r="A5" s="16" t="s">
        <v>124</v>
      </c>
      <c r="C5" s="34"/>
      <c r="D5" s="37">
        <v>2375138</v>
      </c>
      <c r="E5" s="37">
        <v>3362619</v>
      </c>
      <c r="F5" s="37">
        <v>3994965</v>
      </c>
      <c r="G5" s="37">
        <v>3018709</v>
      </c>
      <c r="H5" s="37">
        <v>2210345</v>
      </c>
      <c r="I5" s="38"/>
      <c r="N5" s="37">
        <f>SUM(D5:H5)</f>
        <v>14961776</v>
      </c>
      <c r="O5" s="39">
        <f>NPV($O$3,D5:H5)</f>
        <v>10817508.641960762</v>
      </c>
      <c r="Q5" s="40">
        <f>N50</f>
        <v>3611202.2614687504</v>
      </c>
      <c r="R5" s="41">
        <f>O50</f>
        <v>2291242.5974381333</v>
      </c>
      <c r="S5" s="32" t="s">
        <v>136</v>
      </c>
      <c r="T5" s="20"/>
      <c r="U5" s="20"/>
      <c r="V5" s="20"/>
      <c r="W5" s="20"/>
      <c r="X5" s="21"/>
    </row>
    <row r="6" spans="1:24" s="54" customFormat="1" ht="12.75">
      <c r="A6" s="42" t="s">
        <v>126</v>
      </c>
      <c r="B6" s="43"/>
      <c r="C6" s="44"/>
      <c r="D6" s="45">
        <f>Subactivities!B25</f>
        <v>1175479.3019701038</v>
      </c>
      <c r="E6" s="45">
        <f>Subactivities!C25</f>
        <v>1737068.6237136275</v>
      </c>
      <c r="F6" s="45">
        <f>Subactivities!D25</f>
        <v>2076927.425153785</v>
      </c>
      <c r="G6" s="45">
        <f>Subactivities!E25</f>
        <v>1677170.4373424996</v>
      </c>
      <c r="H6" s="45">
        <f>Subactivities!F25</f>
        <v>924789.23748669</v>
      </c>
      <c r="I6" s="46"/>
      <c r="J6" s="46"/>
      <c r="K6" s="46"/>
      <c r="L6" s="46"/>
      <c r="M6" s="46"/>
      <c r="N6" s="47">
        <f>SUM(D6:H6)</f>
        <v>7591435.025666705</v>
      </c>
      <c r="O6" s="48">
        <f>NPV($O$3,D6:H6)</f>
        <v>5503253.862848415</v>
      </c>
      <c r="P6" s="46"/>
      <c r="Q6" s="49">
        <f>SUM(Q4:Q5)</f>
        <v>25277647.64874175</v>
      </c>
      <c r="R6" s="50">
        <f>SUM(R4:R5)</f>
        <v>13347874.002217017</v>
      </c>
      <c r="S6" s="51" t="s">
        <v>137</v>
      </c>
      <c r="T6" s="52"/>
      <c r="U6" s="52"/>
      <c r="V6" s="52"/>
      <c r="W6" s="52"/>
      <c r="X6" s="53"/>
    </row>
    <row r="7" spans="1:24" s="46" customFormat="1" ht="12.75" customHeight="1">
      <c r="A7" s="54" t="s">
        <v>44</v>
      </c>
      <c r="B7" s="55"/>
      <c r="C7" s="56"/>
      <c r="D7" s="57">
        <f>SUM(D5:D6)*$D$8</f>
        <v>3550617.3019701038</v>
      </c>
      <c r="E7" s="57">
        <f>SUM(E5:E6)*$D$8</f>
        <v>5099687.623713627</v>
      </c>
      <c r="F7" s="57">
        <f>SUM(F5:F6)*$D$8</f>
        <v>6071892.425153784</v>
      </c>
      <c r="G7" s="57">
        <f>SUM(G5:G6)*$D$8</f>
        <v>4695879.437342499</v>
      </c>
      <c r="H7" s="57">
        <f>SUM(H5:H6)*$D$8</f>
        <v>3135134.2374866903</v>
      </c>
      <c r="N7" s="58">
        <f>SUM(D7:H7)</f>
        <v>22553211.025666706</v>
      </c>
      <c r="O7" s="59">
        <f>NPV($O$3,D7:H7)</f>
        <v>16320762.504809175</v>
      </c>
      <c r="Q7" s="60"/>
      <c r="R7" s="61"/>
      <c r="S7" s="62"/>
      <c r="T7" s="61"/>
      <c r="U7" s="61"/>
      <c r="V7" s="61"/>
      <c r="W7" s="61"/>
      <c r="X7" s="63"/>
    </row>
    <row r="8" spans="1:24" s="54" customFormat="1" ht="12.75" customHeight="1">
      <c r="A8" s="52" t="s">
        <v>230</v>
      </c>
      <c r="C8" s="409" t="s">
        <v>211</v>
      </c>
      <c r="D8" s="410">
        <f>'ERR &amp; Sensitivity Analysis'!H10</f>
        <v>1</v>
      </c>
      <c r="E8" s="57"/>
      <c r="F8" s="57"/>
      <c r="G8" s="57"/>
      <c r="H8" s="57"/>
      <c r="I8" s="46"/>
      <c r="J8" s="46"/>
      <c r="K8" s="46"/>
      <c r="L8" s="46"/>
      <c r="M8" s="46"/>
      <c r="N8" s="58"/>
      <c r="O8" s="58"/>
      <c r="P8" s="46"/>
      <c r="Q8" s="49">
        <f>N18+N23+N33+N42</f>
        <v>316979.94189414417</v>
      </c>
      <c r="R8" s="64">
        <f>O18+O23+O33+O42</f>
        <v>171031.07252003805</v>
      </c>
      <c r="S8" s="51" t="s">
        <v>144</v>
      </c>
      <c r="T8" s="52"/>
      <c r="U8" s="52"/>
      <c r="V8" s="52"/>
      <c r="W8" s="52"/>
      <c r="X8" s="53"/>
    </row>
    <row r="9" spans="2:24" s="54" customFormat="1" ht="12.75">
      <c r="B9" s="65"/>
      <c r="C9" s="66"/>
      <c r="N9" s="67"/>
      <c r="O9" s="67"/>
      <c r="Q9" s="68"/>
      <c r="R9" s="52"/>
      <c r="S9" s="69"/>
      <c r="T9" s="52"/>
      <c r="U9" s="52"/>
      <c r="V9" s="52"/>
      <c r="W9" s="52"/>
      <c r="X9" s="53"/>
    </row>
    <row r="10" spans="1:24" s="54" customFormat="1" ht="12.75">
      <c r="A10" s="13" t="s">
        <v>173</v>
      </c>
      <c r="B10" s="70"/>
      <c r="C10" s="71"/>
      <c r="D10" s="42"/>
      <c r="E10" s="42"/>
      <c r="F10" s="42"/>
      <c r="G10" s="42"/>
      <c r="H10" s="42"/>
      <c r="I10" s="42"/>
      <c r="J10" s="42"/>
      <c r="K10" s="42"/>
      <c r="L10" s="42"/>
      <c r="M10" s="42"/>
      <c r="N10" s="72"/>
      <c r="O10" s="72"/>
      <c r="P10" s="16"/>
      <c r="Q10" s="49">
        <f>N21+N31+N40</f>
        <v>5247071.977270596</v>
      </c>
      <c r="R10" s="50">
        <f>O21+O31+O40</f>
        <v>2754238.3293523486</v>
      </c>
      <c r="S10" s="51" t="s">
        <v>146</v>
      </c>
      <c r="T10" s="52"/>
      <c r="U10" s="52"/>
      <c r="V10" s="52"/>
      <c r="W10" s="52"/>
      <c r="X10" s="53"/>
    </row>
    <row r="11" spans="1:24" s="54" customFormat="1" ht="12.75">
      <c r="A11" s="52" t="s">
        <v>232</v>
      </c>
      <c r="B11" s="149"/>
      <c r="C11" s="144" t="s">
        <v>213</v>
      </c>
      <c r="D11" s="414">
        <f>'ERR &amp; Sensitivity Analysis'!H11</f>
        <v>1</v>
      </c>
      <c r="E11" s="20"/>
      <c r="F11" s="20"/>
      <c r="G11" s="20"/>
      <c r="H11" s="20"/>
      <c r="I11" s="20"/>
      <c r="J11" s="20"/>
      <c r="K11" s="20"/>
      <c r="L11" s="20"/>
      <c r="M11" s="20"/>
      <c r="N11" s="413"/>
      <c r="O11" s="413"/>
      <c r="P11" s="16"/>
      <c r="Q11" s="49"/>
      <c r="R11" s="50"/>
      <c r="S11" s="51"/>
      <c r="T11" s="52"/>
      <c r="U11" s="52"/>
      <c r="V11" s="52"/>
      <c r="W11" s="52"/>
      <c r="X11" s="53"/>
    </row>
    <row r="12" spans="1:24" s="54" customFormat="1" ht="12.75">
      <c r="A12" s="412"/>
      <c r="B12" s="149"/>
      <c r="C12" s="34"/>
      <c r="D12" s="20"/>
      <c r="E12" s="20"/>
      <c r="F12" s="20"/>
      <c r="G12" s="20"/>
      <c r="H12" s="20"/>
      <c r="I12" s="20"/>
      <c r="J12" s="20"/>
      <c r="K12" s="20"/>
      <c r="L12" s="20"/>
      <c r="M12" s="20"/>
      <c r="N12" s="413"/>
      <c r="O12" s="413"/>
      <c r="P12" s="16"/>
      <c r="Q12" s="49"/>
      <c r="R12" s="50"/>
      <c r="S12" s="51"/>
      <c r="T12" s="52"/>
      <c r="U12" s="52"/>
      <c r="V12" s="52"/>
      <c r="W12" s="52"/>
      <c r="X12" s="53"/>
    </row>
    <row r="13" spans="1:24" s="75" customFormat="1" ht="12.75" customHeight="1" thickBot="1">
      <c r="A13" s="54"/>
      <c r="B13" s="73" t="s">
        <v>89</v>
      </c>
      <c r="C13" s="74"/>
      <c r="N13" s="76"/>
      <c r="O13" s="76"/>
      <c r="Q13" s="77"/>
      <c r="R13" s="78"/>
      <c r="S13" s="79"/>
      <c r="T13" s="78"/>
      <c r="U13" s="78"/>
      <c r="V13" s="78"/>
      <c r="W13" s="78"/>
      <c r="X13" s="80"/>
    </row>
    <row r="14" spans="1:24" s="88" customFormat="1" ht="13.5" thickBot="1">
      <c r="A14" s="75"/>
      <c r="B14" s="81" t="s">
        <v>7</v>
      </c>
      <c r="C14" s="82"/>
      <c r="D14" s="75"/>
      <c r="E14" s="75"/>
      <c r="F14" s="75"/>
      <c r="G14" s="75"/>
      <c r="H14" s="75"/>
      <c r="I14" s="75"/>
      <c r="J14" s="75"/>
      <c r="K14" s="75"/>
      <c r="L14" s="75"/>
      <c r="M14" s="75"/>
      <c r="N14" s="76"/>
      <c r="O14" s="76"/>
      <c r="P14" s="75"/>
      <c r="Q14" s="83">
        <f>Q6+Q8+Q10</f>
        <v>30841699.567906488</v>
      </c>
      <c r="R14" s="84">
        <f>R6+R8+R10</f>
        <v>16273143.404089404</v>
      </c>
      <c r="S14" s="85" t="s">
        <v>147</v>
      </c>
      <c r="T14" s="86"/>
      <c r="U14" s="86"/>
      <c r="V14" s="86"/>
      <c r="W14" s="86"/>
      <c r="X14" s="87"/>
    </row>
    <row r="15" spans="2:15" s="88" customFormat="1" ht="12.75" customHeight="1">
      <c r="B15" s="89"/>
      <c r="C15" s="90" t="s">
        <v>45</v>
      </c>
      <c r="D15" s="91">
        <f>Subactivities!B29</f>
        <v>63440.851287194</v>
      </c>
      <c r="E15" s="91">
        <f>Subactivities!C29</f>
        <v>74014.85830505026</v>
      </c>
      <c r="F15" s="91">
        <f>Subactivities!D29</f>
        <v>85080.60499441276</v>
      </c>
      <c r="G15" s="91">
        <f>Subactivities!E29</f>
        <v>71691.0253484257</v>
      </c>
      <c r="H15" s="91">
        <f>Subactivities!F29</f>
        <v>42076.20157192196</v>
      </c>
      <c r="I15" s="91"/>
      <c r="N15" s="92"/>
      <c r="O15" s="92"/>
    </row>
    <row r="16" spans="1:15" s="54" customFormat="1" ht="13.5" thickBot="1">
      <c r="A16" s="88"/>
      <c r="B16" s="89"/>
      <c r="C16" s="93" t="s">
        <v>105</v>
      </c>
      <c r="D16" s="94">
        <f>SUMPRODUCT($D15:D15,$D67:D67,$D80:D80)*D$62*D$64</f>
        <v>20236.997152102016</v>
      </c>
      <c r="E16" s="94">
        <f>SUMPRODUCT($D$15:E15,D$68:E68,$D81:E81)*E62*E64</f>
        <v>81429.9915138766</v>
      </c>
      <c r="F16" s="94">
        <f>SUMPRODUCT($D$15:F15,$D69:F$69,$D82:F82)*F62*F64</f>
        <v>158198.995095854</v>
      </c>
      <c r="G16" s="94">
        <f>SUMPRODUCT($D$15:G15,$D70:G$70,$D83:G83)*G62*G64</f>
        <v>238216.0306624107</v>
      </c>
      <c r="H16" s="94">
        <f>SUMPRODUCT($D$15:H15,$D71:H$71,$D84:H84)*H62*H64</f>
        <v>301862.6448676897</v>
      </c>
      <c r="I16" s="94">
        <f>SUMPRODUCT($D$15:I15,$D72:I$72,$D85:I85)*I62*I64</f>
        <v>323119.16440470325</v>
      </c>
      <c r="J16" s="94">
        <f>SUMPRODUCT($D$15:J15,$D$73:J73,$D86:J86)*J62*J64</f>
        <v>326836.5968135826</v>
      </c>
      <c r="K16" s="94">
        <f>SUMPRODUCT($D$15:K15,$D$74:K74,$D87:K87)*K62*K64</f>
        <v>326836.5968135826</v>
      </c>
      <c r="L16" s="94"/>
      <c r="M16" s="94"/>
      <c r="N16" s="67">
        <f>SUM(D16:K16)</f>
        <v>1776737.0173238015</v>
      </c>
      <c r="O16" s="95">
        <f>NPV($O$3,D16:K16)</f>
        <v>961813.0459533621</v>
      </c>
    </row>
    <row r="17" spans="2:24" s="54" customFormat="1" ht="13.5" thickBot="1">
      <c r="B17" s="65"/>
      <c r="C17" s="96" t="s">
        <v>57</v>
      </c>
      <c r="D17" s="94">
        <f>Subactivities!B31</f>
        <v>7426.089094502691</v>
      </c>
      <c r="E17" s="94">
        <f>Subactivities!C31</f>
        <v>8663.832860660948</v>
      </c>
      <c r="F17" s="94">
        <f>Subactivities!D31</f>
        <v>9959.137371005558</v>
      </c>
      <c r="G17" s="94">
        <f>Subactivities!E31</f>
        <v>8391.815852274443</v>
      </c>
      <c r="H17" s="94">
        <f>Subactivities!F31</f>
        <v>4925.243203576296</v>
      </c>
      <c r="I17" s="94"/>
      <c r="N17" s="67"/>
      <c r="O17" s="67"/>
      <c r="Q17" s="467" t="s">
        <v>148</v>
      </c>
      <c r="R17" s="468"/>
      <c r="S17" s="468"/>
      <c r="T17" s="468"/>
      <c r="U17" s="468"/>
      <c r="V17" s="468"/>
      <c r="W17" s="468"/>
      <c r="X17" s="469"/>
    </row>
    <row r="18" spans="2:25" s="54" customFormat="1" ht="12.75">
      <c r="B18" s="65"/>
      <c r="C18" s="93" t="s">
        <v>105</v>
      </c>
      <c r="D18" s="94">
        <f>SUMPRODUCT($D17:D17,$D67:D67)*D$62*D$64</f>
        <v>2368.8481602554134</v>
      </c>
      <c r="E18" s="94">
        <f>SUMPRODUCT($D17:E17,$D68:E68)*E$62*E$64</f>
        <v>9531.813644951988</v>
      </c>
      <c r="F18" s="94">
        <f>SUMPRODUCT($D17:F17,$D69:F69)*F$62*F$64</f>
        <v>17841.220099913204</v>
      </c>
      <c r="G18" s="94">
        <f>SUMPRODUCT($D17:G17,$D70:G70)*G$62*G$64</f>
        <v>26418.01800858763</v>
      </c>
      <c r="H18" s="94">
        <f>SUMPRODUCT($D17:H17,$D71:H71)*H$62*H$64</f>
        <v>32960.516967142335</v>
      </c>
      <c r="I18" s="94">
        <f>SUMPRODUCT($D17:I17,$D72:I72)*I$62*I$64</f>
        <v>34779.96559051462</v>
      </c>
      <c r="J18" s="94">
        <f>SUMPRODUCT($D17:J17,$D73:J73)*J$62*J$64</f>
        <v>34779.96559051462</v>
      </c>
      <c r="K18" s="94">
        <f>SUMPRODUCT($D17:K17,$D74:K74)*K$62*K$64</f>
        <v>34779.96559051462</v>
      </c>
      <c r="L18" s="94"/>
      <c r="M18" s="94"/>
      <c r="N18" s="67">
        <f>SUM(D18:K18)</f>
        <v>193460.31365239443</v>
      </c>
      <c r="O18" s="95">
        <f>NPV($O$3,D18:K18)</f>
        <v>105304.93296721074</v>
      </c>
      <c r="Q18" s="97"/>
      <c r="R18" s="98"/>
      <c r="S18" s="99"/>
      <c r="T18" s="464" t="s">
        <v>183</v>
      </c>
      <c r="U18" s="465"/>
      <c r="V18" s="465"/>
      <c r="W18" s="465"/>
      <c r="X18" s="466"/>
      <c r="Y18" s="52"/>
    </row>
    <row r="19" spans="2:25" ht="13.5" thickBot="1">
      <c r="B19" s="65" t="s">
        <v>8</v>
      </c>
      <c r="C19" s="100"/>
      <c r="D19" s="38"/>
      <c r="E19" s="38"/>
      <c r="F19" s="38"/>
      <c r="G19" s="38"/>
      <c r="H19" s="38"/>
      <c r="I19" s="38"/>
      <c r="N19" s="37"/>
      <c r="O19" s="37"/>
      <c r="Q19" s="101" t="s">
        <v>149</v>
      </c>
      <c r="R19" s="27" t="s">
        <v>150</v>
      </c>
      <c r="S19" s="102" t="s">
        <v>151</v>
      </c>
      <c r="T19" s="27" t="s">
        <v>152</v>
      </c>
      <c r="U19" s="102" t="s">
        <v>153</v>
      </c>
      <c r="V19" s="102" t="s">
        <v>154</v>
      </c>
      <c r="W19" s="102" t="s">
        <v>155</v>
      </c>
      <c r="X19" s="103" t="s">
        <v>156</v>
      </c>
      <c r="Y19" s="17"/>
    </row>
    <row r="20" spans="3:25" ht="12.75">
      <c r="C20" s="104" t="s">
        <v>140</v>
      </c>
      <c r="D20" s="38">
        <f>Subactivities!B36</f>
        <v>41870.96184954804</v>
      </c>
      <c r="E20" s="38">
        <f>Subactivities!C36</f>
        <v>64016.51632578961</v>
      </c>
      <c r="F20" s="38">
        <f>Subactivities!D36</f>
        <v>73568.27088891434</v>
      </c>
      <c r="G20" s="38">
        <f>Subactivities!E36</f>
        <v>61590.68365871295</v>
      </c>
      <c r="H20" s="38">
        <f>Subactivities!F36</f>
        <v>26823.97150286927</v>
      </c>
      <c r="I20" s="38"/>
      <c r="N20" s="37"/>
      <c r="O20" s="37"/>
      <c r="Q20" s="105"/>
      <c r="R20" s="32"/>
      <c r="S20" s="20"/>
      <c r="T20" s="32"/>
      <c r="U20" s="20"/>
      <c r="V20" s="20"/>
      <c r="W20" s="20"/>
      <c r="X20" s="21"/>
      <c r="Y20" s="106"/>
    </row>
    <row r="21" spans="2:25" s="54" customFormat="1" ht="12.75">
      <c r="B21" s="33"/>
      <c r="C21" s="93" t="s">
        <v>105</v>
      </c>
      <c r="D21" s="94">
        <f>SUMPRODUCT($D20:D20,$D67:D67,$D93:D93)*D$62*D$64</f>
        <v>13356.418120387327</v>
      </c>
      <c r="E21" s="94">
        <f>SUMPRODUCT($D20:E20,$D68:E68,$D94:E94)*E$62*E$64</f>
        <v>58581.82317244171</v>
      </c>
      <c r="F21" s="94">
        <f>SUMPRODUCT($D20:F20,$D69:F69,$D95:F95)*F$62*F$64</f>
        <v>123026.28591023177</v>
      </c>
      <c r="G21" s="94">
        <f>SUMPRODUCT($D20:G20,$D70:G70,$D96:G96)*G$62*G$64</f>
        <v>190923.24968617232</v>
      </c>
      <c r="H21" s="94">
        <f>SUMPRODUCT($D20:H20,$D71:H71,$D97:H97)*H$62*H$64</f>
        <v>241330.77502918325</v>
      </c>
      <c r="I21" s="94">
        <f>SUMPRODUCT($D20:I20,$D72:I72,$D98:I98)*I$62*I$64</f>
        <v>253700.6639983837</v>
      </c>
      <c r="J21" s="94">
        <f>SUMPRODUCT($D20:J20,$D73:J73,$D99:J99)*J$62*J$64</f>
        <v>255596.5823042065</v>
      </c>
      <c r="K21" s="94">
        <f>SUMPRODUCT($D20:K20,$D74:K74,$D100:K100)*K$62*K$64</f>
        <v>255596.5823042065</v>
      </c>
      <c r="L21" s="94"/>
      <c r="M21" s="94"/>
      <c r="N21" s="67">
        <f>SUM(D21:K21)</f>
        <v>1392112.380525213</v>
      </c>
      <c r="O21" s="95">
        <f>NPV($O$3,D21:K21)</f>
        <v>751849.6020042226</v>
      </c>
      <c r="Q21" s="68" t="s">
        <v>65</v>
      </c>
      <c r="R21" s="107" t="s">
        <v>161</v>
      </c>
      <c r="S21" s="52">
        <v>0</v>
      </c>
      <c r="T21" s="108">
        <f>Subactivities!B30+Subactivities!B37+Subactivities!B47+Subactivities!B66</f>
        <v>1510.4757976454619</v>
      </c>
      <c r="U21" s="109">
        <f>Subactivities!C30+Subactivities!C37+Subactivities!C47+Subactivities!C66+T21</f>
        <v>3468.0124216094346</v>
      </c>
      <c r="V21" s="109">
        <f>Subactivities!D30+Subactivities!D37+Subactivities!D47+Subactivities!D66+U21</f>
        <v>5745.201784389466</v>
      </c>
      <c r="W21" s="109">
        <f>Subactivities!E30+Subactivities!E37+Subactivities!E47+Subactivities!E66+V21</f>
        <v>7640.738100487617</v>
      </c>
      <c r="X21" s="110">
        <f>Subactivities!F30+Subactivities!F37+Subactivities!F47+Subactivities!F66+W21</f>
        <v>8692.169341302826</v>
      </c>
      <c r="Y21" s="109"/>
    </row>
    <row r="22" spans="2:25" s="54" customFormat="1" ht="12.75">
      <c r="B22" s="65"/>
      <c r="C22" s="96" t="s">
        <v>57</v>
      </c>
      <c r="D22" s="94">
        <f>Subactivities!B38</f>
        <v>1392.3917052192546</v>
      </c>
      <c r="E22" s="94">
        <f>Subactivities!C38</f>
        <v>2128.8277696927235</v>
      </c>
      <c r="F22" s="94">
        <f>Subactivities!D38</f>
        <v>2446.4651784480848</v>
      </c>
      <c r="G22" s="94">
        <f>Subactivities!E38</f>
        <v>2048.158276213583</v>
      </c>
      <c r="H22" s="94">
        <f>Subactivities!F38</f>
        <v>892.0137912245259</v>
      </c>
      <c r="I22" s="94"/>
      <c r="N22" s="67"/>
      <c r="O22" s="67"/>
      <c r="Q22" s="68"/>
      <c r="R22" s="107"/>
      <c r="S22" s="52"/>
      <c r="T22" s="69"/>
      <c r="U22" s="52"/>
      <c r="V22" s="52"/>
      <c r="W22" s="52"/>
      <c r="X22" s="53"/>
      <c r="Y22" s="109"/>
    </row>
    <row r="23" spans="2:25" s="54" customFormat="1" ht="12.75">
      <c r="B23" s="65"/>
      <c r="C23" s="93" t="s">
        <v>105</v>
      </c>
      <c r="D23" s="94">
        <f>SUMPRODUCT($D22:D22,$D67:D67)*D$62*D$64</f>
        <v>444.15903004789004</v>
      </c>
      <c r="E23" s="94">
        <f>SUMPRODUCT($D22:E22,$D68:E68)*E$62*E$64</f>
        <v>1948.1005703911103</v>
      </c>
      <c r="F23" s="94">
        <f>SUMPRODUCT($D22:F22,$D69:F69)*F$62*F$64</f>
        <v>3989.6373567079318</v>
      </c>
      <c r="G23" s="94">
        <f>SUMPRODUCT($D22:G22,$D70:G70)*G$62*G$64</f>
        <v>6092.2898016017325</v>
      </c>
      <c r="H23" s="94">
        <f>SUMPRODUCT($D22:H22,$D71:H71)*H$62*H$64</f>
        <v>7590.182725276132</v>
      </c>
      <c r="I23" s="94">
        <f>SUMPRODUCT($D22:I22,$D72:I72)*I$62*I$64</f>
        <v>7870.091412825185</v>
      </c>
      <c r="J23" s="94">
        <f>SUMPRODUCT($D22:J22,$D73:J73)*J$62*J$64</f>
        <v>7870.091412825185</v>
      </c>
      <c r="K23" s="94">
        <f>SUMPRODUCT($D22:K22,$D74:K74)*K$62*K$64</f>
        <v>7870.091412825185</v>
      </c>
      <c r="L23" s="94"/>
      <c r="M23" s="94"/>
      <c r="N23" s="67">
        <f>SUM(D23:K23)</f>
        <v>43674.64372250035</v>
      </c>
      <c r="O23" s="95">
        <f>NPV($O$3,D23:K23)</f>
        <v>23693.824138261032</v>
      </c>
      <c r="Q23" s="68" t="s">
        <v>157</v>
      </c>
      <c r="R23" s="107" t="s">
        <v>166</v>
      </c>
      <c r="S23" s="111">
        <v>30000</v>
      </c>
      <c r="T23" s="112">
        <f>D21+D31+D40</f>
        <v>44518.62558379317</v>
      </c>
      <c r="U23" s="113">
        <f>E21+E31+E40+T23</f>
        <v>241845.7433182152</v>
      </c>
      <c r="V23" s="113">
        <f>F21+F31+F40+U23</f>
        <v>663839.8881110577</v>
      </c>
      <c r="W23" s="113">
        <f>G21+G31+G40+V23</f>
        <v>1326453.2057093065</v>
      </c>
      <c r="X23" s="114">
        <f>H21+H31+H40+W23</f>
        <v>2171462.633928664</v>
      </c>
      <c r="Y23" s="109"/>
    </row>
    <row r="24" spans="2:25" s="54" customFormat="1" ht="12.75">
      <c r="B24" s="65"/>
      <c r="C24" s="96" t="s">
        <v>52</v>
      </c>
      <c r="D24" s="94">
        <f>Subactivities!B41</f>
        <v>118951.59616348875</v>
      </c>
      <c r="E24" s="94">
        <f>Subactivities!C41</f>
        <v>187812.68300644038</v>
      </c>
      <c r="F24" s="94">
        <f>Subactivities!D41</f>
        <v>218391.4037211014</v>
      </c>
      <c r="G24" s="94">
        <f>Subactivities!E41</f>
        <v>185893.10330739865</v>
      </c>
      <c r="H24" s="94">
        <f>Subactivities!F41</f>
        <v>85499.11966215762</v>
      </c>
      <c r="I24" s="94"/>
      <c r="N24" s="67"/>
      <c r="O24" s="67"/>
      <c r="Q24" s="68"/>
      <c r="R24" s="107"/>
      <c r="S24" s="52"/>
      <c r="T24" s="115"/>
      <c r="U24" s="116"/>
      <c r="V24" s="116"/>
      <c r="W24" s="116"/>
      <c r="X24" s="117"/>
      <c r="Y24" s="109"/>
    </row>
    <row r="25" spans="2:25" s="54" customFormat="1" ht="12.75">
      <c r="B25" s="65"/>
      <c r="C25" s="93" t="s">
        <v>105</v>
      </c>
      <c r="D25" s="94">
        <f>SUMPRODUCT($D24:D24,$D67:D67,$D80:D80)*D$62*D$64</f>
        <v>37944.369660191274</v>
      </c>
      <c r="E25" s="94">
        <f>SUMPRODUCT($D24:E24,$D68:E68,$D81:E81)*E$62*E$64</f>
        <v>168322.85249562806</v>
      </c>
      <c r="F25" s="94">
        <f>SUMPRODUCT($D24:F24,$D69:F69,$D82:F82)*F$62*F$64</f>
        <v>360090.8863828079</v>
      </c>
      <c r="G25" s="94">
        <f>SUMPRODUCT($D24:G24,$D70:G70,$D83:G83)*G$62*G$64</f>
        <v>565883.4268144597</v>
      </c>
      <c r="H25" s="94">
        <f>SUMPRODUCT($D24:H24,$D71:H71,$D84:H84)*H$62*H$64</f>
        <v>723185.9168609686</v>
      </c>
      <c r="I25" s="94">
        <f>SUMPRODUCT($D24:I24,$D72:I72,$D85:I85)*I$62*I$64</f>
        <v>766571.2350884598</v>
      </c>
      <c r="J25" s="94">
        <f>SUMPRODUCT($D24:J24,$D73:J73,$D86:J86)*J$62*J$64</f>
        <v>774125.0823106114</v>
      </c>
      <c r="K25" s="94">
        <f>SUMPRODUCT($D24:K24,$D74:K74,$D87:K87)*K$62*K$64</f>
        <v>774125.0823106114</v>
      </c>
      <c r="L25" s="94"/>
      <c r="M25" s="94"/>
      <c r="N25" s="67">
        <f>SUM(D25:K25)</f>
        <v>4170248.851923738</v>
      </c>
      <c r="O25" s="95">
        <f>NPV($O$3,D25:K25)</f>
        <v>2245554.5431576828</v>
      </c>
      <c r="Q25" s="68" t="s">
        <v>167</v>
      </c>
      <c r="R25" s="107"/>
      <c r="S25" s="52"/>
      <c r="T25" s="115"/>
      <c r="U25" s="116"/>
      <c r="V25" s="116"/>
      <c r="W25" s="116"/>
      <c r="X25" s="117"/>
      <c r="Y25" s="109"/>
    </row>
    <row r="26" spans="2:25" s="54" customFormat="1" ht="12.75">
      <c r="B26" s="65"/>
      <c r="C26" s="93"/>
      <c r="D26" s="94"/>
      <c r="E26" s="94"/>
      <c r="F26" s="94"/>
      <c r="G26" s="94"/>
      <c r="H26" s="94"/>
      <c r="I26" s="94"/>
      <c r="J26" s="94"/>
      <c r="K26" s="94"/>
      <c r="L26" s="94"/>
      <c r="M26" s="94"/>
      <c r="N26" s="67"/>
      <c r="O26" s="95"/>
      <c r="Q26" s="118" t="s">
        <v>160</v>
      </c>
      <c r="R26" s="107" t="s">
        <v>166</v>
      </c>
      <c r="S26" s="111">
        <v>250</v>
      </c>
      <c r="T26" s="115">
        <f>D16+D25+D35+D44</f>
        <v>159948.04779435956</v>
      </c>
      <c r="U26" s="115">
        <f>E16+E25+E35+E44+T26</f>
        <v>873916.2131905968</v>
      </c>
      <c r="V26" s="115">
        <f>F16+F25+F35+F44+U26</f>
        <v>2435923.2742726244</v>
      </c>
      <c r="W26" s="115">
        <f>G16+G25+G35+G44+V26</f>
        <v>4933405.925131047</v>
      </c>
      <c r="X26" s="115">
        <f>H16+H25+H35+H44+W26</f>
        <v>8174465.225928358</v>
      </c>
      <c r="Y26" s="119"/>
    </row>
    <row r="27" spans="2:25" s="54" customFormat="1" ht="12.75">
      <c r="B27" s="65"/>
      <c r="C27" s="93"/>
      <c r="D27" s="94"/>
      <c r="E27" s="94"/>
      <c r="F27" s="94"/>
      <c r="G27" s="94"/>
      <c r="H27" s="94"/>
      <c r="I27" s="94"/>
      <c r="J27" s="94"/>
      <c r="K27" s="94"/>
      <c r="L27" s="94"/>
      <c r="M27" s="94"/>
      <c r="N27" s="67"/>
      <c r="O27" s="95"/>
      <c r="Q27" s="118" t="s">
        <v>159</v>
      </c>
      <c r="R27" s="107" t="s">
        <v>166</v>
      </c>
      <c r="S27" s="111">
        <v>250</v>
      </c>
      <c r="T27" s="120">
        <f>D50</f>
        <v>133088.6090625</v>
      </c>
      <c r="U27" s="120">
        <f>E50+T27</f>
        <v>579886.0823437499</v>
      </c>
      <c r="V27" s="120">
        <f>F50+U27</f>
        <v>1228217.7350625</v>
      </c>
      <c r="W27" s="120">
        <f>G50+V27</f>
        <v>1988343.8193937503</v>
      </c>
      <c r="X27" s="120">
        <f>H50+W27</f>
        <v>2802465.8536875006</v>
      </c>
      <c r="Y27" s="119"/>
    </row>
    <row r="28" spans="2:25" s="54" customFormat="1" ht="12.75">
      <c r="B28" s="65"/>
      <c r="C28" s="93"/>
      <c r="D28" s="94"/>
      <c r="E28" s="94"/>
      <c r="F28" s="94"/>
      <c r="G28" s="94"/>
      <c r="H28" s="94"/>
      <c r="I28" s="94"/>
      <c r="J28" s="94"/>
      <c r="K28" s="94"/>
      <c r="L28" s="94"/>
      <c r="M28" s="94"/>
      <c r="N28" s="67"/>
      <c r="O28" s="95"/>
      <c r="Q28" s="121" t="s">
        <v>162</v>
      </c>
      <c r="R28" s="107" t="s">
        <v>166</v>
      </c>
      <c r="S28" s="111">
        <v>250</v>
      </c>
      <c r="T28" s="115">
        <f>SUM(T26:T27)</f>
        <v>293036.65685685957</v>
      </c>
      <c r="U28" s="115">
        <f>SUM(U26:U27)</f>
        <v>1453802.2955343467</v>
      </c>
      <c r="V28" s="115">
        <f>SUM(V26:V27)</f>
        <v>3664141.0093351244</v>
      </c>
      <c r="W28" s="115">
        <f>SUM(W26:W27)</f>
        <v>6921749.744524797</v>
      </c>
      <c r="X28" s="115">
        <f>SUM(X26:X27)</f>
        <v>10976931.079615857</v>
      </c>
      <c r="Y28" s="119"/>
    </row>
    <row r="29" spans="2:25" ht="12.75">
      <c r="B29" s="65" t="s">
        <v>27</v>
      </c>
      <c r="C29" s="100"/>
      <c r="D29" s="38"/>
      <c r="E29" s="38"/>
      <c r="F29" s="38"/>
      <c r="G29" s="38"/>
      <c r="H29" s="38"/>
      <c r="I29" s="38"/>
      <c r="N29" s="37"/>
      <c r="O29" s="37"/>
      <c r="Q29" s="105"/>
      <c r="R29" s="122"/>
      <c r="S29" s="20"/>
      <c r="T29" s="32"/>
      <c r="U29" s="20"/>
      <c r="V29" s="20"/>
      <c r="W29" s="20"/>
      <c r="X29" s="21"/>
      <c r="Y29" s="106"/>
    </row>
    <row r="30" spans="3:25" ht="12.75">
      <c r="C30" s="104" t="s">
        <v>53</v>
      </c>
      <c r="D30" s="38">
        <f>Subactivities!B46</f>
        <v>76129.0215446328</v>
      </c>
      <c r="E30" s="38">
        <f>Subactivities!C46</f>
        <v>117916.24647778283</v>
      </c>
      <c r="F30" s="38">
        <f>Subactivities!D46</f>
        <v>136118.81745485443</v>
      </c>
      <c r="G30" s="38">
        <f>Subactivities!E46</f>
        <v>114705.43754675699</v>
      </c>
      <c r="H30" s="38">
        <f>Subactivities!F46</f>
        <v>51064.96602887926</v>
      </c>
      <c r="I30" s="38"/>
      <c r="N30" s="37"/>
      <c r="O30" s="37"/>
      <c r="Q30" s="105" t="s">
        <v>158</v>
      </c>
      <c r="R30" s="122"/>
      <c r="S30" s="20"/>
      <c r="T30" s="32"/>
      <c r="U30" s="20"/>
      <c r="V30" s="20"/>
      <c r="W30" s="20"/>
      <c r="X30" s="21"/>
      <c r="Y30" s="106"/>
    </row>
    <row r="31" spans="2:25" s="54" customFormat="1" ht="12.75">
      <c r="B31" s="33"/>
      <c r="C31" s="93" t="s">
        <v>105</v>
      </c>
      <c r="D31" s="94">
        <f>SUMPRODUCT($D30:D30,$D67:D67,$D93:D93)*D$62*D$64</f>
        <v>24284.39658252241</v>
      </c>
      <c r="E31" s="94">
        <f>SUMPRODUCT($D30:E30,$D68:E68,$D94:E94)*E$62*E$64</f>
        <v>106998.09369972628</v>
      </c>
      <c r="F31" s="94">
        <f>SUMPRODUCT($D30:F30,$D69:F69,$D95:F95)*F$62*F$64</f>
        <v>225824.1180744159</v>
      </c>
      <c r="G31" s="94">
        <f>SUMPRODUCT($D30:G30,$D70:G70,$D96:G96)*G$62*G$64</f>
        <v>351649.66360907437</v>
      </c>
      <c r="H31" s="94">
        <f>SUMPRODUCT($D30:H30,$D71:H71,$D97:H97)*H$62*H$64</f>
        <v>445816.2205979692</v>
      </c>
      <c r="I31" s="94">
        <f>SUMPRODUCT($D30:I30,$D72:I72,$D98:I98)*I$62*I$64</f>
        <v>469601.498965581</v>
      </c>
      <c r="J31" s="94">
        <f>SUMPRODUCT($D30:J30,$D73:J73,$D99:J99)*J$62*J$64</f>
        <v>473210.7707645022</v>
      </c>
      <c r="K31" s="94">
        <f>SUMPRODUCT($D30:K30,$D74:K74,$D100:K100)*K$62*K$64</f>
        <v>473210.7707645022</v>
      </c>
      <c r="L31" s="94"/>
      <c r="M31" s="94"/>
      <c r="N31" s="67">
        <f>SUM(D31:K31)</f>
        <v>2570595.533058293</v>
      </c>
      <c r="O31" s="95">
        <f>NPV($O$3,D31:K31)</f>
        <v>1387258.8320345292</v>
      </c>
      <c r="Q31" s="118" t="s">
        <v>160</v>
      </c>
      <c r="R31" s="107" t="s">
        <v>161</v>
      </c>
      <c r="S31" s="52">
        <v>0</v>
      </c>
      <c r="T31" s="108">
        <f>Subactivities!B$28+(Subactivities!B40-10%*Subactivities!B$28)+(Subactivities!B50-5%*Subactivities!B$28)+(Subactivities!B69-20%*Subactivities!B$28)</f>
        <v>7667.455345490396</v>
      </c>
      <c r="U31" s="109">
        <f>Subactivities!C$28+(Subactivities!C40-10%*Subactivities!C$28)+(Subactivities!C50-5%*Subactivities!C$28)+(Subactivities!C69-20%*Subactivities!C$28)+T31</f>
        <v>20142.34136693978</v>
      </c>
      <c r="V31" s="109">
        <f>Subactivities!D$28+(Subactivities!D40-10%*Subactivities!D$28)+(Subactivities!D50-5%*Subactivities!D$28)+(Subactivities!D69-20%*Subactivities!D$28)+U31</f>
        <v>35972.482759330596</v>
      </c>
      <c r="W31" s="109">
        <f>Subactivities!E$28+(Subactivities!E40-10%*Subactivities!E$28)+(Subactivities!E50-5%*Subactivities!E$28)+(Subactivities!E69-20%*Subactivities!E$28)+V31</f>
        <v>48526.54045075808</v>
      </c>
      <c r="X31" s="110">
        <f>Subactivities!F$28+(Subactivities!F40-10%*Subactivities!F$28)+(Subactivities!F50-5%*Subactivities!F$28)+(Subactivities!F69-20%*Subactivities!F$28)+W31</f>
        <v>56868.171711899806</v>
      </c>
      <c r="Y31" s="109"/>
    </row>
    <row r="32" spans="2:25" s="54" customFormat="1" ht="12.75">
      <c r="B32" s="65"/>
      <c r="C32" s="96" t="s">
        <v>57</v>
      </c>
      <c r="D32" s="94">
        <f>Subactivities!B48</f>
        <v>1856.5222736256728</v>
      </c>
      <c r="E32" s="94">
        <f>Subactivities!C48</f>
        <v>2875.5674717294773</v>
      </c>
      <c r="F32" s="94">
        <f>Subactivities!D48</f>
        <v>3319.4649206987024</v>
      </c>
      <c r="G32" s="94">
        <f>Subactivities!E48</f>
        <v>2797.2670000320845</v>
      </c>
      <c r="H32" s="94">
        <f>Subactivities!F48</f>
        <v>1245.2970616333428</v>
      </c>
      <c r="I32" s="94"/>
      <c r="N32" s="67"/>
      <c r="O32" s="67"/>
      <c r="Q32" s="118" t="s">
        <v>159</v>
      </c>
      <c r="R32" s="107" t="s">
        <v>161</v>
      </c>
      <c r="S32" s="123">
        <v>0</v>
      </c>
      <c r="T32" s="124">
        <f>Subactivities!B84-ERR!T31</f>
        <v>159220.0446545096</v>
      </c>
      <c r="U32" s="125">
        <f>Subactivities!C84-(Subactivities!C$28+(Subactivities!C40-10%*Subactivities!C$28)+(Subactivities!C50-5%*Subactivities!C$28)+(Subactivities!C69-20%*Subactivities!C$28))+T32</f>
        <v>230188.90863306023</v>
      </c>
      <c r="V32" s="125">
        <f>Subactivities!D84-(Subactivities!D$28+(Subactivities!D40-10%*Subactivities!D$28)+(Subactivities!D50-5%*Subactivities!D$28)+(Subactivities!D69-20%*Subactivities!D$28))+U32</f>
        <v>264425.0172406694</v>
      </c>
      <c r="W32" s="125">
        <f>Subactivities!E84-(Subactivities!E$28+(Subactivities!E40-10%*Subactivities!E$28)+(Subactivities!E50-5%*Subactivities!E$28)+(Subactivities!E69-20%*Subactivities!E$28))+V32</f>
        <v>275235.20954924193</v>
      </c>
      <c r="X32" s="126">
        <f>Subactivities!F84-(Subactivities!F$28+(Subactivities!F40-10%*Subactivities!F$28)+(Subactivities!F50-5%*Subactivities!F$28)+(Subactivities!F69-20%*Subactivities!F$28))+W32</f>
        <v>276906.8282881002</v>
      </c>
      <c r="Y32" s="109"/>
    </row>
    <row r="33" spans="2:25" s="54" customFormat="1" ht="13.5" thickBot="1">
      <c r="B33" s="65"/>
      <c r="C33" s="93" t="s">
        <v>105</v>
      </c>
      <c r="D33" s="94">
        <f>SUMPRODUCT($D32:D32,$D67:D67)*D$62*D$64</f>
        <v>592.2120400638534</v>
      </c>
      <c r="E33" s="94">
        <f>SUMPRODUCT($D32:E32,$D68:E68)*E$62*E$64</f>
        <v>2609.311667989424</v>
      </c>
      <c r="F33" s="94">
        <f>SUMPRODUCT($D32:F32,$D69:F69)*F$62*F$64</f>
        <v>5371.702708970362</v>
      </c>
      <c r="G33" s="94">
        <f>SUMPRODUCT($D32:G32,$D70:G70)*G$62*G$64</f>
        <v>8230.487122981714</v>
      </c>
      <c r="H33" s="94">
        <f>SUMPRODUCT($D32:H32,$D71:H71)*H$62*H$64</f>
        <v>10284.853376161143</v>
      </c>
      <c r="I33" s="94">
        <f>SUMPRODUCT($D32:I32,$D72:I72)*I$62*I$64</f>
        <v>10685.153895939982</v>
      </c>
      <c r="J33" s="94">
        <f>SUMPRODUCT($D32:J32,$D73:J73)*J$62*J$64</f>
        <v>10685.153895939982</v>
      </c>
      <c r="K33" s="94">
        <f>SUMPRODUCT($D32:K32,$D74:K74)*K$62*K$64</f>
        <v>10685.153895939982</v>
      </c>
      <c r="L33" s="94"/>
      <c r="M33" s="94"/>
      <c r="N33" s="67">
        <f>SUM(D33:K33)</f>
        <v>59144.028603986444</v>
      </c>
      <c r="O33" s="95">
        <f>NPV($O$3,D33:K33)</f>
        <v>32061.292221049756</v>
      </c>
      <c r="Q33" s="127" t="s">
        <v>162</v>
      </c>
      <c r="R33" s="128" t="s">
        <v>161</v>
      </c>
      <c r="S33" s="129">
        <f aca="true" t="shared" si="0" ref="S33:X33">SUM(S31:S32)</f>
        <v>0</v>
      </c>
      <c r="T33" s="130">
        <f t="shared" si="0"/>
        <v>166887.5</v>
      </c>
      <c r="U33" s="131">
        <f t="shared" si="0"/>
        <v>250331.25</v>
      </c>
      <c r="V33" s="131">
        <f t="shared" si="0"/>
        <v>300397.5</v>
      </c>
      <c r="W33" s="131">
        <f t="shared" si="0"/>
        <v>323761.75</v>
      </c>
      <c r="X33" s="132">
        <f t="shared" si="0"/>
        <v>333775</v>
      </c>
      <c r="Y33" s="109"/>
    </row>
    <row r="34" spans="2:25" s="54" customFormat="1" ht="12.75">
      <c r="B34" s="65"/>
      <c r="C34" s="96" t="s">
        <v>52</v>
      </c>
      <c r="D34" s="94">
        <f>Subactivities!B51</f>
        <v>158602.12821798498</v>
      </c>
      <c r="E34" s="94">
        <f>Subactivities!C51</f>
        <v>253588.95323961347</v>
      </c>
      <c r="F34" s="94">
        <f>Subactivities!D51</f>
        <v>296260.31735959405</v>
      </c>
      <c r="G34" s="94">
        <f>Subactivities!E51</f>
        <v>253782.67742372345</v>
      </c>
      <c r="H34" s="94">
        <f>Subactivities!F51</f>
        <v>119074.47976468464</v>
      </c>
      <c r="I34" s="94"/>
      <c r="N34" s="67"/>
      <c r="O34" s="67"/>
      <c r="Y34" s="52"/>
    </row>
    <row r="35" spans="2:17" s="54" customFormat="1" ht="12.75">
      <c r="B35" s="65"/>
      <c r="C35" s="93" t="s">
        <v>105</v>
      </c>
      <c r="D35" s="94">
        <f>SUMPRODUCT($D34:D34,$D67:D67,$D80:D80)*D$62*D$64</f>
        <v>50592.49288025503</v>
      </c>
      <c r="E35" s="94">
        <f>SUMPRODUCT($D34:E34,$D68:E68,$D81:E81)*E$62*E$64</f>
        <v>225442.3198517758</v>
      </c>
      <c r="F35" s="94">
        <f>SUMPRODUCT($D34:F34,$D69:F69,$D82:F82)*F$62*F$64</f>
        <v>484630.02824077936</v>
      </c>
      <c r="G35" s="94">
        <f>SUMPRODUCT($D34:G34,$D70:G70,$D83:G83)*G$62*G$64</f>
        <v>764203.8363174284</v>
      </c>
      <c r="H35" s="94">
        <f>SUMPRODUCT($D34:H34,$D71:H71,$D84:H84)*H$62*H$64</f>
        <v>979531.9658743065</v>
      </c>
      <c r="I35" s="94">
        <f>SUMPRODUCT($D34:I34,$D72:I72,$D85:I85)*I$62*I$64</f>
        <v>1040349.489866833</v>
      </c>
      <c r="J35" s="94">
        <f>SUMPRODUCT($D34:J34,$D73:J73,$D86:J86)*J$62*J$64</f>
        <v>1050869.7201540428</v>
      </c>
      <c r="K35" s="94">
        <f>SUMPRODUCT($D34:K34,$D74:K74,$D87:K87)*K$62*K$64</f>
        <v>1050869.7201540428</v>
      </c>
      <c r="L35" s="94"/>
      <c r="M35" s="94"/>
      <c r="N35" s="67">
        <f>SUM(D35:K35)</f>
        <v>5646489.573339464</v>
      </c>
      <c r="O35" s="95">
        <f>NPV($O$3,D35:K35)</f>
        <v>3038183.46096889</v>
      </c>
      <c r="Q35" s="54" t="s">
        <v>165</v>
      </c>
    </row>
    <row r="36" spans="2:24" s="54" customFormat="1" ht="12.75">
      <c r="B36" s="65"/>
      <c r="C36" s="96"/>
      <c r="D36" s="94"/>
      <c r="E36" s="94"/>
      <c r="F36" s="94"/>
      <c r="G36" s="94"/>
      <c r="H36" s="94"/>
      <c r="I36" s="94"/>
      <c r="N36" s="67"/>
      <c r="O36" s="67"/>
      <c r="T36" s="133"/>
      <c r="U36" s="133"/>
      <c r="V36" s="133"/>
      <c r="W36" s="133"/>
      <c r="X36" s="133"/>
    </row>
    <row r="37" spans="2:15" s="46" customFormat="1" ht="12.75" customHeight="1">
      <c r="B37" s="55" t="s">
        <v>90</v>
      </c>
      <c r="C37" s="56"/>
      <c r="D37" s="57"/>
      <c r="E37" s="57"/>
      <c r="F37" s="57"/>
      <c r="G37" s="57"/>
      <c r="H37" s="57"/>
      <c r="I37" s="57"/>
      <c r="N37" s="58"/>
      <c r="O37" s="58"/>
    </row>
    <row r="38" spans="2:15" s="46" customFormat="1" ht="12.75">
      <c r="B38" s="134" t="s">
        <v>91</v>
      </c>
      <c r="C38" s="56"/>
      <c r="D38" s="57"/>
      <c r="E38" s="57"/>
      <c r="F38" s="57"/>
      <c r="G38" s="57"/>
      <c r="H38" s="57"/>
      <c r="I38" s="57"/>
      <c r="N38" s="58"/>
      <c r="O38" s="58"/>
    </row>
    <row r="39" spans="2:15" s="46" customFormat="1" ht="12.75">
      <c r="B39" s="134"/>
      <c r="C39" s="135" t="s">
        <v>54</v>
      </c>
      <c r="D39" s="57">
        <f>Subactivities!B65</f>
        <v>21561.2115768</v>
      </c>
      <c r="E39" s="57">
        <f>Subactivities!C65</f>
        <v>37920.664068336</v>
      </c>
      <c r="F39" s="57">
        <f>Subactivities!D65</f>
        <v>54421.41849816672</v>
      </c>
      <c r="G39" s="57">
        <f>Subactivities!E65</f>
        <v>37280.16396676333</v>
      </c>
      <c r="H39" s="57">
        <f>Subactivities!F65</f>
        <v>36894.297276135265</v>
      </c>
      <c r="I39" s="57"/>
      <c r="N39" s="58"/>
      <c r="O39" s="58"/>
    </row>
    <row r="40" spans="2:15" s="54" customFormat="1" ht="12.75">
      <c r="B40" s="134"/>
      <c r="C40" s="93" t="s">
        <v>105</v>
      </c>
      <c r="D40" s="94">
        <f>SUMPRODUCT($D39:D39,$D67:D67,$D93:D93)*D$62*D$64</f>
        <v>6877.810880883432</v>
      </c>
      <c r="E40" s="94">
        <f>SUMPRODUCT($D39:E39,$D68:E68,$D94:E94)*E$62*E$64</f>
        <v>31747.200862254023</v>
      </c>
      <c r="F40" s="94">
        <f>SUMPRODUCT($D39:F39,$D69:F69,$D95:F95)*F$62*F$64</f>
        <v>73143.7408081948</v>
      </c>
      <c r="G40" s="94">
        <f>SUMPRODUCT($D39:G39,$D70:G70,$D96:G96)*G$62*G$64</f>
        <v>120040.4043030021</v>
      </c>
      <c r="H40" s="94">
        <f>SUMPRODUCT($D39:H39,$D71:H71,$D97:H97)*H$62*H$64</f>
        <v>157862.4325922051</v>
      </c>
      <c r="I40" s="94">
        <f>SUMPRODUCT($D39:I39,$D72:I72,$D98:I98)*I$62*I$64</f>
        <v>176852.34370292834</v>
      </c>
      <c r="J40" s="94">
        <f>SUMPRODUCT($D39:J39,$D73:J73,$D99:J99)*J$62*J$64</f>
        <v>179460.03263440556</v>
      </c>
      <c r="K40" s="94">
        <f>SUMPRODUCT($D39:K39,$D74:K74,$D100:K100)*K$62*K$64</f>
        <v>179460.03263440556</v>
      </c>
      <c r="L40" s="94">
        <f>SUMPRODUCT($D39:L39,$D75:L75,$D101:L101)*L$62*L$64</f>
        <v>179460.03263440556</v>
      </c>
      <c r="M40" s="94">
        <f>SUMPRODUCT($D39:M39,$D76:M76,$D102:M102)*M$62*M$64</f>
        <v>179460.03263440556</v>
      </c>
      <c r="N40" s="67">
        <f>SUM(D40:M40)</f>
        <v>1284364.06368709</v>
      </c>
      <c r="O40" s="95">
        <f>NPV($O$3,D40:M40)</f>
        <v>615129.8953135969</v>
      </c>
    </row>
    <row r="41" spans="2:15" s="54" customFormat="1" ht="12.75">
      <c r="B41" s="65"/>
      <c r="C41" s="96" t="s">
        <v>57</v>
      </c>
      <c r="D41" s="94">
        <f>Subactivities!B67</f>
        <v>375.57358666072344</v>
      </c>
      <c r="E41" s="94">
        <f>Subactivities!C67</f>
        <v>653.0265394064681</v>
      </c>
      <c r="F41" s="94">
        <f>Subactivities!D67</f>
        <v>934.7530062713618</v>
      </c>
      <c r="G41" s="94">
        <f>Subactivities!E67</f>
        <v>630.4218989341276</v>
      </c>
      <c r="H41" s="94">
        <f>Subactivities!F67</f>
        <v>629.6721596149788</v>
      </c>
      <c r="I41" s="94"/>
      <c r="N41" s="67"/>
      <c r="O41" s="67"/>
    </row>
    <row r="42" spans="2:15" s="54" customFormat="1" ht="12.75">
      <c r="B42" s="65"/>
      <c r="C42" s="93" t="s">
        <v>105</v>
      </c>
      <c r="D42" s="94">
        <f>SUMPRODUCT($D41:D41,$D67:D67)*D$62*D$64</f>
        <v>119.80421840890416</v>
      </c>
      <c r="E42" s="94">
        <f>SUMPRODUCT($D41:E41,$D68:E68)*E$62*E$64</f>
        <v>550.6067026878526</v>
      </c>
      <c r="F42" s="94">
        <f>SUMPRODUCT($D41:F41,$D69:F69)*F$62*F$64</f>
        <v>1235.64301636814</v>
      </c>
      <c r="G42" s="94">
        <f>SUMPRODUCT($D41:G41,$D70:G70)*G$62*G$64</f>
        <v>1990.498326354355</v>
      </c>
      <c r="H42" s="94">
        <f>SUMPRODUCT($D41:H41,$D71:H71)*H$62*H$64</f>
        <v>2564.825685697503</v>
      </c>
      <c r="I42" s="94">
        <f>SUMPRODUCT($D41:I41,$D72:I72)*I$62*I$64</f>
        <v>2847.915593149247</v>
      </c>
      <c r="J42" s="94">
        <f>SUMPRODUCT($D41:J41,$D73:J73)*J$62*J$64</f>
        <v>2847.915593149247</v>
      </c>
      <c r="K42" s="94">
        <f>SUMPRODUCT($D41:K41,$D74:K74)*K$62*K$64</f>
        <v>2847.915593149247</v>
      </c>
      <c r="L42" s="94">
        <f>SUMPRODUCT($D41:L41,$D75:L75)*L$62*L$64</f>
        <v>2847.915593149247</v>
      </c>
      <c r="M42" s="94">
        <f>SUMPRODUCT($D41:M41,$D76:M76)*M$62*M$64</f>
        <v>2847.915593149247</v>
      </c>
      <c r="N42" s="67">
        <f>SUM(D42:M42)</f>
        <v>20700.955915262984</v>
      </c>
      <c r="O42" s="95">
        <f>NPV($O$3,D42:M42)</f>
        <v>9971.023193516525</v>
      </c>
    </row>
    <row r="43" spans="2:15" s="54" customFormat="1" ht="12.75">
      <c r="B43" s="65"/>
      <c r="C43" s="96" t="s">
        <v>55</v>
      </c>
      <c r="D43" s="94">
        <f>Subactivities!B70</f>
        <v>160425.681375</v>
      </c>
      <c r="E43" s="94">
        <f>Subactivities!C70</f>
        <v>290169.08219625003</v>
      </c>
      <c r="F43" s="94">
        <f>Subactivities!D70</f>
        <v>419429.7226973625</v>
      </c>
      <c r="G43" s="94">
        <f>Subactivities!E70</f>
        <v>298353.65850661905</v>
      </c>
      <c r="H43" s="94">
        <f>Subactivities!F70</f>
        <v>289428.82337276597</v>
      </c>
      <c r="I43" s="94"/>
      <c r="N43" s="67"/>
      <c r="O43" s="67"/>
    </row>
    <row r="44" spans="2:15" s="54" customFormat="1" ht="12.75">
      <c r="B44" s="65"/>
      <c r="C44" s="93" t="s">
        <v>105</v>
      </c>
      <c r="D44" s="94">
        <f>SUMPRODUCT($D43:D43,$D67:D67,$D80:D80)*D$62*D$64</f>
        <v>51174.18810181125</v>
      </c>
      <c r="E44" s="94">
        <f>SUMPRODUCT($D43:E43,$D68:E68,$D81:E81)*E$62*E$64</f>
        <v>238773.00153495677</v>
      </c>
      <c r="F44" s="94">
        <f>SUMPRODUCT($D43:F43,$D69:F69,$D82:F82)*F$62*F$64</f>
        <v>559087.1513625864</v>
      </c>
      <c r="G44" s="94">
        <f>SUMPRODUCT($D43:G43,$D70:G70,$D83:G83)*G$62*G$64</f>
        <v>929179.3570641236</v>
      </c>
      <c r="H44" s="94">
        <f>SUMPRODUCT($D43:H43,$D71:H71,$D84:H84)*H$62*H$64</f>
        <v>1236478.773194346</v>
      </c>
      <c r="I44" s="94">
        <f>SUMPRODUCT($D43:I43,$D72:I72,$D85:I85)*I$62*I$64</f>
        <v>1391198.6654496475</v>
      </c>
      <c r="J44" s="94">
        <f>SUMPRODUCT($D43:J43,$D73:J73,$D86:J86)*J$62*J$64</f>
        <v>1416769.7019946314</v>
      </c>
      <c r="K44" s="94">
        <f>SUMPRODUCT($D43:K43,$D74:K74,$D87:K87)*K$62*K$64</f>
        <v>1416769.7019946314</v>
      </c>
      <c r="L44" s="94">
        <f>SUMPRODUCT($D43:L43,$D75:L75,$D88:L88)*L$62*L$64</f>
        <v>1416769.7019946314</v>
      </c>
      <c r="M44" s="94">
        <f>SUMPRODUCT($D43:M43,$D76:M76,$D89:M89)*M$62*M$64</f>
        <v>1416769.7019946314</v>
      </c>
      <c r="N44" s="67">
        <f>SUM(D44:M44)</f>
        <v>10072969.944685997</v>
      </c>
      <c r="O44" s="95">
        <f>NPV($O$3,D44:M44)</f>
        <v>4811080.354698947</v>
      </c>
    </row>
    <row r="45" spans="2:15" s="54" customFormat="1" ht="12.75">
      <c r="B45" s="65"/>
      <c r="C45" s="96"/>
      <c r="D45" s="94"/>
      <c r="E45" s="94"/>
      <c r="F45" s="94"/>
      <c r="G45" s="94"/>
      <c r="H45" s="94"/>
      <c r="I45" s="94"/>
      <c r="N45" s="67"/>
      <c r="O45" s="67"/>
    </row>
    <row r="46" spans="2:15" s="46" customFormat="1" ht="12.75" customHeight="1">
      <c r="B46" s="55" t="s">
        <v>92</v>
      </c>
      <c r="C46" s="56"/>
      <c r="D46" s="57"/>
      <c r="E46" s="57"/>
      <c r="F46" s="57"/>
      <c r="G46" s="57"/>
      <c r="H46" s="57"/>
      <c r="I46" s="57"/>
      <c r="N46" s="58"/>
      <c r="O46" s="58"/>
    </row>
    <row r="47" spans="2:15" s="46" customFormat="1" ht="12.75">
      <c r="B47" s="134" t="s">
        <v>93</v>
      </c>
      <c r="C47" s="56"/>
      <c r="D47" s="57"/>
      <c r="E47" s="57"/>
      <c r="F47" s="57"/>
      <c r="G47" s="57"/>
      <c r="H47" s="57"/>
      <c r="I47" s="57"/>
      <c r="N47" s="58"/>
      <c r="O47" s="58"/>
    </row>
    <row r="48" spans="2:15" s="46" customFormat="1" ht="12.75">
      <c r="B48" s="134"/>
      <c r="C48" s="56"/>
      <c r="D48" s="57"/>
      <c r="E48" s="57"/>
      <c r="F48" s="57"/>
      <c r="G48" s="57"/>
      <c r="H48" s="57"/>
      <c r="I48" s="57"/>
      <c r="N48" s="58"/>
      <c r="O48" s="58"/>
    </row>
    <row r="49" spans="2:15" s="46" customFormat="1" ht="12.75">
      <c r="B49" s="134"/>
      <c r="C49" s="135" t="s">
        <v>56</v>
      </c>
      <c r="D49" s="57">
        <f>Subactivities!B85</f>
        <v>417218.75</v>
      </c>
      <c r="E49" s="57">
        <f>Subactivities!C85</f>
        <v>208609.375</v>
      </c>
      <c r="F49" s="57">
        <f>Subactivities!D85</f>
        <v>125165.62500000001</v>
      </c>
      <c r="G49" s="57">
        <f>Subactivities!E85</f>
        <v>58410.62499999996</v>
      </c>
      <c r="H49" s="57">
        <f>Subactivities!F85</f>
        <v>25033.125000000022</v>
      </c>
      <c r="I49" s="57"/>
      <c r="N49" s="58"/>
      <c r="O49" s="58"/>
    </row>
    <row r="50" spans="2:15" s="54" customFormat="1" ht="13.5" thickBot="1">
      <c r="B50" s="134"/>
      <c r="C50" s="93" t="s">
        <v>105</v>
      </c>
      <c r="D50" s="136">
        <f>SUMPRODUCT($D49:D49,$D67:D67,$D80:D80)*D$62*D$64</f>
        <v>133088.6090625</v>
      </c>
      <c r="E50" s="136">
        <f>SUMPRODUCT($D49:E49,$D68:E68,$D81:E81)*E$62*E$64</f>
        <v>446797.47328125</v>
      </c>
      <c r="F50" s="136">
        <f>SUMPRODUCT($D49:F49,$D69:F69,$D82:F82)*F$62*F$64</f>
        <v>648331.6527187501</v>
      </c>
      <c r="G50" s="136">
        <f>SUMPRODUCT($D49:G49,$D70:G70,$D83:G83)*G$62*G$64</f>
        <v>760126.0843312502</v>
      </c>
      <c r="H50" s="136">
        <f>SUMPRODUCT($D49:H49,$D71:H71,$D84:H84)*H$62*H$64</f>
        <v>814122.0342937502</v>
      </c>
      <c r="I50" s="136">
        <f>SUMPRODUCT($D49:I49,$D72:I72,$D85:I85)*I$62*I$64</f>
        <v>808736.4077812501</v>
      </c>
      <c r="J50" s="136"/>
      <c r="K50" s="136"/>
      <c r="L50" s="136"/>
      <c r="M50" s="136"/>
      <c r="N50" s="67">
        <f>SUM(D50:I50)</f>
        <v>3611202.2614687504</v>
      </c>
      <c r="O50" s="95">
        <f>NPV($O$3,D50:I50)</f>
        <v>2291242.5974381333</v>
      </c>
    </row>
    <row r="51" spans="2:15" s="54" customFormat="1" ht="12.75">
      <c r="B51" s="134"/>
      <c r="C51" s="93"/>
      <c r="D51" s="411"/>
      <c r="E51" s="411"/>
      <c r="F51" s="411"/>
      <c r="G51" s="411"/>
      <c r="H51" s="411"/>
      <c r="I51" s="411"/>
      <c r="J51" s="411"/>
      <c r="K51" s="411"/>
      <c r="L51" s="411"/>
      <c r="M51" s="411"/>
      <c r="N51" s="67"/>
      <c r="O51" s="95"/>
    </row>
    <row r="52" spans="1:15" s="54" customFormat="1" ht="12.75">
      <c r="A52" s="54" t="s">
        <v>231</v>
      </c>
      <c r="B52" s="134"/>
      <c r="C52" s="93"/>
      <c r="D52" s="411">
        <f>(D16+D21+D18+D23+D25+D31+D33+D35+D40+D42+D44+D50)*$D$11</f>
        <v>341080.3058894288</v>
      </c>
      <c r="E52" s="411">
        <f aca="true" t="shared" si="1" ref="E52:M52">(E16+E21+E18+E23+E25+E31+E33+E35+E40+E42+E44+E50)*$D$11</f>
        <v>1372732.5889979294</v>
      </c>
      <c r="F52" s="411">
        <f t="shared" si="1"/>
        <v>2660771.06177558</v>
      </c>
      <c r="G52" s="411">
        <f t="shared" si="1"/>
        <v>3962953.346047447</v>
      </c>
      <c r="H52" s="411">
        <f t="shared" si="1"/>
        <v>4953591.142064695</v>
      </c>
      <c r="I52" s="411">
        <f t="shared" si="1"/>
        <v>5286312.5957502145</v>
      </c>
      <c r="J52" s="411">
        <f t="shared" si="1"/>
        <v>4533051.613468411</v>
      </c>
      <c r="K52" s="411">
        <f t="shared" si="1"/>
        <v>4533051.613468411</v>
      </c>
      <c r="L52" s="411">
        <f t="shared" si="1"/>
        <v>1599077.6502221862</v>
      </c>
      <c r="M52" s="411">
        <f t="shared" si="1"/>
        <v>1599077.6502221862</v>
      </c>
      <c r="N52" s="67"/>
      <c r="O52" s="95"/>
    </row>
    <row r="53" spans="2:3" s="54" customFormat="1" ht="13.5" thickBot="1">
      <c r="B53" s="65"/>
      <c r="C53" s="96"/>
    </row>
    <row r="54" spans="1:13" s="54" customFormat="1" ht="13.5" thickBot="1">
      <c r="A54" s="54" t="s">
        <v>63</v>
      </c>
      <c r="B54" s="65"/>
      <c r="C54" s="66"/>
      <c r="D54" s="415">
        <f>D52-D7</f>
        <v>-3209536.996080675</v>
      </c>
      <c r="E54" s="415">
        <f aca="true" t="shared" si="2" ref="E54:M54">E52-E7</f>
        <v>-3726955.034715698</v>
      </c>
      <c r="F54" s="415">
        <f t="shared" si="2"/>
        <v>-3411121.3633782044</v>
      </c>
      <c r="G54" s="415">
        <f t="shared" si="2"/>
        <v>-732926.0912950523</v>
      </c>
      <c r="H54" s="415">
        <f t="shared" si="2"/>
        <v>1818456.904578005</v>
      </c>
      <c r="I54" s="415">
        <f t="shared" si="2"/>
        <v>5286312.5957502145</v>
      </c>
      <c r="J54" s="415">
        <f t="shared" si="2"/>
        <v>4533051.613468411</v>
      </c>
      <c r="K54" s="415">
        <f t="shared" si="2"/>
        <v>4533051.613468411</v>
      </c>
      <c r="L54" s="415">
        <f t="shared" si="2"/>
        <v>1599077.6502221862</v>
      </c>
      <c r="M54" s="415">
        <f t="shared" si="2"/>
        <v>1599077.6502221862</v>
      </c>
    </row>
    <row r="55" spans="2:3" s="54" customFormat="1" ht="12.75">
      <c r="B55" s="65"/>
      <c r="C55" s="66"/>
    </row>
    <row r="56" spans="1:14" ht="13.5" thickBot="1">
      <c r="A56" s="54"/>
      <c r="B56" s="137"/>
      <c r="C56" s="138" t="s">
        <v>67</v>
      </c>
      <c r="D56" s="139" t="str">
        <f>IF(ISERR(IRR($D$54:D54)),"Doesn't exist",IRR($D$54:D54))</f>
        <v>Doesn't exist</v>
      </c>
      <c r="E56" s="139" t="str">
        <f>IF(ISERR(IRR($D$54:E54)),"Doesn't exist",IRR($D$54:E54))</f>
        <v>Doesn't exist</v>
      </c>
      <c r="F56" s="139" t="str">
        <f>IF(ISERR(IRR($D$54:F54)),"Doesn't exist",IRR($D$54:F54))</f>
        <v>Doesn't exist</v>
      </c>
      <c r="G56" s="139" t="str">
        <f>IF(ISERR(IRR($D$54:G54)),"Doesn't exist",IRR($D$54:G54))</f>
        <v>Doesn't exist</v>
      </c>
      <c r="H56" s="139" t="str">
        <f>IF(ISERR(IRR($D$54:H54)),"Doesn't exist",IRR($D$54:H54))</f>
        <v>Doesn't exist</v>
      </c>
      <c r="I56" s="139">
        <f>IF(ISERR(IRR($D$54:I54)),"Doesn't exist",IRR($D$54:I54))</f>
        <v>-0.11759752703012583</v>
      </c>
      <c r="J56" s="139">
        <f>IF(ISERR(IRR($D$54:J54)),"Doesn't exist",IRR($D$54:J54))</f>
        <v>0.012085069777286517</v>
      </c>
      <c r="K56" s="139">
        <f>IF(ISERR(IRR($D$54:K54)),"Doesn't exist",IRR($D$54:K54))</f>
        <v>0.08620085941368472</v>
      </c>
      <c r="L56" s="139">
        <f>IF(ISERR(IRR($D$54:L54)),"Doesn't exist",IRR($D$54:L54))</f>
        <v>0.10434669925680295</v>
      </c>
      <c r="M56" s="389">
        <f>IF(ISERR(IRR($D$54:M54)),"Doesn't exist",IRR($D$54:M54))</f>
        <v>0.1187555112410057</v>
      </c>
      <c r="N56" s="389">
        <f>(IRR($D$54:N54))</f>
        <v>0.1187555112410057</v>
      </c>
    </row>
    <row r="57" spans="3:13" ht="12.75">
      <c r="C57" s="140"/>
      <c r="D57" s="141"/>
      <c r="E57" s="141"/>
      <c r="F57" s="141"/>
      <c r="G57" s="141"/>
      <c r="H57" s="141"/>
      <c r="I57" s="141"/>
      <c r="J57" s="141"/>
      <c r="L57" s="141"/>
      <c r="M57" s="142" t="s">
        <v>168</v>
      </c>
    </row>
    <row r="58" spans="3:13" ht="12.75">
      <c r="C58" s="143" t="s">
        <v>99</v>
      </c>
      <c r="D58" s="141"/>
      <c r="E58" s="141"/>
      <c r="F58" s="141"/>
      <c r="G58" s="141"/>
      <c r="H58" s="141"/>
      <c r="I58" s="141"/>
      <c r="J58" s="141"/>
      <c r="K58" s="141"/>
      <c r="L58" s="141"/>
      <c r="M58" s="141"/>
    </row>
    <row r="59" spans="3:13" ht="12.75">
      <c r="C59" s="144" t="s">
        <v>98</v>
      </c>
      <c r="D59" s="17">
        <v>1</v>
      </c>
      <c r="E59" s="17">
        <v>2</v>
      </c>
      <c r="F59" s="17">
        <v>3</v>
      </c>
      <c r="G59" s="17">
        <v>4</v>
      </c>
      <c r="H59" s="17">
        <v>5</v>
      </c>
      <c r="I59" s="17">
        <v>6</v>
      </c>
      <c r="J59" s="17">
        <v>7</v>
      </c>
      <c r="K59" s="17">
        <v>8</v>
      </c>
      <c r="L59" s="17">
        <v>9</v>
      </c>
      <c r="M59" s="17">
        <v>10</v>
      </c>
    </row>
    <row r="60" spans="2:13" ht="13.5" thickBot="1">
      <c r="B60" s="145"/>
      <c r="C60" s="146" t="s">
        <v>95</v>
      </c>
      <c r="D60" s="147">
        <v>0.35</v>
      </c>
      <c r="E60" s="147">
        <v>1</v>
      </c>
      <c r="F60" s="147">
        <v>1</v>
      </c>
      <c r="G60" s="147">
        <v>1</v>
      </c>
      <c r="H60" s="147">
        <v>1</v>
      </c>
      <c r="I60" s="147">
        <v>1</v>
      </c>
      <c r="J60" s="147">
        <v>1</v>
      </c>
      <c r="K60" s="147">
        <v>1</v>
      </c>
      <c r="L60" s="147">
        <v>1</v>
      </c>
      <c r="M60" s="147">
        <v>1</v>
      </c>
    </row>
    <row r="61" spans="3:13" s="29" customFormat="1" ht="12.75">
      <c r="C61" s="148"/>
      <c r="D61" s="17"/>
      <c r="E61" s="17"/>
      <c r="F61" s="17"/>
      <c r="G61" s="17"/>
      <c r="H61" s="17"/>
      <c r="I61" s="17"/>
      <c r="J61" s="17"/>
      <c r="K61" s="17"/>
      <c r="L61" s="17"/>
      <c r="M61" s="17"/>
    </row>
    <row r="62" spans="2:13" ht="13.5" thickBot="1">
      <c r="B62" s="145"/>
      <c r="C62" s="146" t="s">
        <v>96</v>
      </c>
      <c r="D62" s="139">
        <v>0.93</v>
      </c>
      <c r="E62" s="139">
        <v>0.93</v>
      </c>
      <c r="F62" s="139">
        <v>0.93</v>
      </c>
      <c r="G62" s="139">
        <v>0.93</v>
      </c>
      <c r="H62" s="139">
        <v>0.93</v>
      </c>
      <c r="I62" s="139">
        <v>0.93</v>
      </c>
      <c r="J62" s="139">
        <v>0.93</v>
      </c>
      <c r="K62" s="139">
        <v>0.93</v>
      </c>
      <c r="L62" s="139">
        <v>0.93</v>
      </c>
      <c r="M62" s="139">
        <v>0.93</v>
      </c>
    </row>
    <row r="63" spans="3:13" ht="12.75">
      <c r="C63" s="34"/>
      <c r="D63" s="17"/>
      <c r="E63" s="17"/>
      <c r="F63" s="17"/>
      <c r="G63" s="17"/>
      <c r="H63" s="17"/>
      <c r="I63" s="17"/>
      <c r="J63" s="17"/>
      <c r="K63" s="17"/>
      <c r="L63" s="17"/>
      <c r="M63" s="17"/>
    </row>
    <row r="64" spans="2:13" ht="13.5" thickBot="1">
      <c r="B64" s="145"/>
      <c r="C64" s="146" t="s">
        <v>97</v>
      </c>
      <c r="D64" s="139">
        <v>0.98</v>
      </c>
      <c r="E64" s="139">
        <v>0.98</v>
      </c>
      <c r="F64" s="139">
        <v>0.98</v>
      </c>
      <c r="G64" s="139">
        <v>0.98</v>
      </c>
      <c r="H64" s="139">
        <v>0.98</v>
      </c>
      <c r="I64" s="139">
        <v>0.95</v>
      </c>
      <c r="J64" s="139">
        <v>0.95</v>
      </c>
      <c r="K64" s="139">
        <v>0.95</v>
      </c>
      <c r="L64" s="139">
        <v>0.95</v>
      </c>
      <c r="M64" s="139">
        <v>0.95</v>
      </c>
    </row>
    <row r="65" spans="2:13" ht="12.75">
      <c r="B65" s="149"/>
      <c r="C65" s="144"/>
      <c r="D65" s="150"/>
      <c r="E65" s="150"/>
      <c r="F65" s="150"/>
      <c r="G65" s="150"/>
      <c r="H65" s="150"/>
      <c r="I65" s="150"/>
      <c r="J65" s="150"/>
      <c r="K65" s="150"/>
      <c r="L65" s="150"/>
      <c r="M65" s="150"/>
    </row>
    <row r="66" spans="2:13" ht="12.75">
      <c r="B66" s="149"/>
      <c r="C66" s="144"/>
      <c r="D66" s="150"/>
      <c r="E66" s="150"/>
      <c r="G66" s="150"/>
      <c r="H66" s="150"/>
      <c r="I66" s="150"/>
      <c r="J66" s="150"/>
      <c r="K66" s="150"/>
      <c r="L66" s="150"/>
      <c r="M66" s="150"/>
    </row>
    <row r="67" spans="2:13" ht="12.75">
      <c r="B67" s="149"/>
      <c r="C67" s="143" t="s">
        <v>95</v>
      </c>
      <c r="D67" s="151">
        <v>0.35</v>
      </c>
      <c r="E67" s="152"/>
      <c r="F67" s="152"/>
      <c r="G67" s="153"/>
      <c r="H67" s="153"/>
      <c r="I67" s="153"/>
      <c r="J67" s="153"/>
      <c r="K67" s="153"/>
      <c r="L67" s="153"/>
      <c r="M67" s="154"/>
    </row>
    <row r="68" spans="2:13" ht="12.75">
      <c r="B68" s="149"/>
      <c r="C68" s="34" t="s">
        <v>169</v>
      </c>
      <c r="D68" s="155">
        <v>1</v>
      </c>
      <c r="E68" s="155">
        <v>0.35</v>
      </c>
      <c r="F68" s="150"/>
      <c r="G68" s="150"/>
      <c r="H68" s="150"/>
      <c r="I68" s="150"/>
      <c r="J68" s="150"/>
      <c r="K68" s="150"/>
      <c r="L68" s="150"/>
      <c r="M68" s="156"/>
    </row>
    <row r="69" spans="2:13" ht="12.75">
      <c r="B69" s="149"/>
      <c r="C69" s="144" t="s">
        <v>100</v>
      </c>
      <c r="D69" s="155">
        <v>1</v>
      </c>
      <c r="E69" s="155">
        <v>1</v>
      </c>
      <c r="F69" s="155">
        <v>0.35</v>
      </c>
      <c r="G69" s="155"/>
      <c r="H69" s="155"/>
      <c r="I69" s="155"/>
      <c r="J69" s="155"/>
      <c r="K69" s="155"/>
      <c r="L69" s="155"/>
      <c r="M69" s="157"/>
    </row>
    <row r="70" spans="2:16" ht="12.75">
      <c r="B70" s="149"/>
      <c r="C70" s="158" t="s">
        <v>128</v>
      </c>
      <c r="D70" s="155">
        <v>1</v>
      </c>
      <c r="E70" s="155">
        <v>1</v>
      </c>
      <c r="F70" s="155">
        <v>1</v>
      </c>
      <c r="G70" s="155">
        <v>0.35</v>
      </c>
      <c r="H70" s="155"/>
      <c r="I70" s="155"/>
      <c r="J70" s="155"/>
      <c r="K70" s="155"/>
      <c r="L70" s="155"/>
      <c r="M70" s="157"/>
      <c r="N70" s="155"/>
      <c r="O70" s="155"/>
      <c r="P70" s="155"/>
    </row>
    <row r="71" spans="2:13" ht="12.75">
      <c r="B71" s="149"/>
      <c r="C71" s="144"/>
      <c r="D71" s="155">
        <v>1</v>
      </c>
      <c r="E71" s="155">
        <v>1</v>
      </c>
      <c r="F71" s="155">
        <v>1</v>
      </c>
      <c r="G71" s="155">
        <v>1</v>
      </c>
      <c r="H71" s="155">
        <v>0.35</v>
      </c>
      <c r="I71" s="150"/>
      <c r="J71" s="150"/>
      <c r="K71" s="150"/>
      <c r="L71" s="150"/>
      <c r="M71" s="156"/>
    </row>
    <row r="72" spans="2:13" ht="12.75">
      <c r="B72" s="149"/>
      <c r="C72" s="144"/>
      <c r="D72" s="155">
        <v>1</v>
      </c>
      <c r="E72" s="155">
        <v>1</v>
      </c>
      <c r="F72" s="155">
        <v>1</v>
      </c>
      <c r="G72" s="155">
        <v>1</v>
      </c>
      <c r="H72" s="155">
        <v>1</v>
      </c>
      <c r="I72" s="155">
        <v>0.35</v>
      </c>
      <c r="J72" s="150"/>
      <c r="K72" s="150"/>
      <c r="L72" s="150"/>
      <c r="M72" s="156"/>
    </row>
    <row r="73" spans="2:13" ht="12.75">
      <c r="B73" s="149"/>
      <c r="C73" s="144"/>
      <c r="D73" s="155">
        <v>1</v>
      </c>
      <c r="E73" s="155">
        <v>1</v>
      </c>
      <c r="F73" s="155">
        <v>1</v>
      </c>
      <c r="G73" s="155">
        <v>1</v>
      </c>
      <c r="H73" s="155">
        <v>1</v>
      </c>
      <c r="I73" s="155">
        <v>1</v>
      </c>
      <c r="J73" s="155">
        <v>0.35</v>
      </c>
      <c r="K73" s="150"/>
      <c r="L73" s="150"/>
      <c r="M73" s="156"/>
    </row>
    <row r="74" spans="2:13" ht="12.75">
      <c r="B74" s="149"/>
      <c r="C74" s="144"/>
      <c r="D74" s="155">
        <v>1</v>
      </c>
      <c r="E74" s="155">
        <v>1</v>
      </c>
      <c r="F74" s="155">
        <v>1</v>
      </c>
      <c r="G74" s="155">
        <v>1</v>
      </c>
      <c r="H74" s="155">
        <v>1</v>
      </c>
      <c r="I74" s="155">
        <v>1</v>
      </c>
      <c r="J74" s="155">
        <v>1</v>
      </c>
      <c r="K74" s="155">
        <v>0.35</v>
      </c>
      <c r="L74" s="150"/>
      <c r="M74" s="156"/>
    </row>
    <row r="75" spans="3:13" ht="12.75">
      <c r="C75" s="144"/>
      <c r="D75" s="155">
        <v>1</v>
      </c>
      <c r="E75" s="155">
        <v>1</v>
      </c>
      <c r="F75" s="155">
        <v>1</v>
      </c>
      <c r="G75" s="155">
        <v>1</v>
      </c>
      <c r="H75" s="155">
        <v>1</v>
      </c>
      <c r="I75" s="155">
        <v>1</v>
      </c>
      <c r="J75" s="155">
        <v>1</v>
      </c>
      <c r="K75" s="155">
        <v>1</v>
      </c>
      <c r="L75" s="155">
        <v>0.35</v>
      </c>
      <c r="M75" s="157"/>
    </row>
    <row r="76" spans="3:13" ht="12.75">
      <c r="C76" s="144"/>
      <c r="D76" s="159">
        <v>1</v>
      </c>
      <c r="E76" s="159">
        <v>1</v>
      </c>
      <c r="F76" s="159">
        <v>1</v>
      </c>
      <c r="G76" s="159">
        <v>1</v>
      </c>
      <c r="H76" s="159">
        <v>1</v>
      </c>
      <c r="I76" s="159">
        <v>1</v>
      </c>
      <c r="J76" s="159">
        <v>1</v>
      </c>
      <c r="K76" s="159">
        <v>1</v>
      </c>
      <c r="L76" s="159">
        <v>1</v>
      </c>
      <c r="M76" s="160">
        <v>0.35</v>
      </c>
    </row>
    <row r="77" spans="3:13" ht="12.75">
      <c r="C77" s="144"/>
      <c r="D77" s="155"/>
      <c r="E77" s="155"/>
      <c r="F77" s="155"/>
      <c r="G77" s="155"/>
      <c r="H77" s="155"/>
      <c r="I77" s="155"/>
      <c r="J77" s="155"/>
      <c r="K77" s="155"/>
      <c r="L77" s="155"/>
      <c r="M77" s="155"/>
    </row>
    <row r="78" spans="3:13" ht="12.75">
      <c r="C78" s="144" t="s">
        <v>98</v>
      </c>
      <c r="D78" s="17">
        <v>1</v>
      </c>
      <c r="E78" s="17">
        <v>2</v>
      </c>
      <c r="F78" s="17">
        <v>3</v>
      </c>
      <c r="G78" s="17">
        <v>4</v>
      </c>
      <c r="H78" s="17">
        <v>5</v>
      </c>
      <c r="I78" s="17">
        <v>6</v>
      </c>
      <c r="J78" s="17">
        <v>7</v>
      </c>
      <c r="K78" s="17">
        <v>8</v>
      </c>
      <c r="L78" s="17">
        <v>9</v>
      </c>
      <c r="M78" s="17">
        <v>10</v>
      </c>
    </row>
    <row r="79" spans="3:13" ht="12.75">
      <c r="C79" s="144"/>
      <c r="D79" s="17"/>
      <c r="E79" s="17"/>
      <c r="F79" s="17"/>
      <c r="G79" s="17"/>
      <c r="H79" s="17"/>
      <c r="I79" s="17"/>
      <c r="J79" s="17"/>
      <c r="K79" s="17"/>
      <c r="L79" s="17"/>
      <c r="M79" s="17"/>
    </row>
    <row r="80" spans="3:13" ht="12.75">
      <c r="C80" s="143" t="s">
        <v>130</v>
      </c>
      <c r="D80" s="151">
        <v>1</v>
      </c>
      <c r="E80" s="151"/>
      <c r="F80" s="151"/>
      <c r="G80" s="151"/>
      <c r="H80" s="151"/>
      <c r="I80" s="151"/>
      <c r="J80" s="151"/>
      <c r="K80" s="151"/>
      <c r="L80" s="151"/>
      <c r="M80" s="161"/>
    </row>
    <row r="81" spans="3:13" ht="12.75">
      <c r="C81" s="143" t="s">
        <v>170</v>
      </c>
      <c r="D81" s="155">
        <v>1</v>
      </c>
      <c r="E81" s="155">
        <v>1</v>
      </c>
      <c r="F81" s="155"/>
      <c r="G81" s="155"/>
      <c r="H81" s="155"/>
      <c r="I81" s="155"/>
      <c r="J81" s="155"/>
      <c r="K81" s="155"/>
      <c r="L81" s="155"/>
      <c r="M81" s="157"/>
    </row>
    <row r="82" spans="1:13" ht="12.75">
      <c r="A82" s="16" t="s">
        <v>129</v>
      </c>
      <c r="B82" s="162">
        <f>'ERR &amp; Sensitivity Analysis'!H20</f>
        <v>0.1</v>
      </c>
      <c r="C82" s="34" t="s">
        <v>169</v>
      </c>
      <c r="D82" s="155">
        <f>100%+$B$82</f>
        <v>1.1</v>
      </c>
      <c r="E82" s="155">
        <v>1</v>
      </c>
      <c r="F82" s="155">
        <v>1</v>
      </c>
      <c r="G82" s="155"/>
      <c r="H82" s="155"/>
      <c r="I82" s="155"/>
      <c r="J82" s="155"/>
      <c r="K82" s="155"/>
      <c r="L82" s="155"/>
      <c r="M82" s="157"/>
    </row>
    <row r="83" spans="3:13" ht="12.75">
      <c r="C83" s="144" t="s">
        <v>100</v>
      </c>
      <c r="D83" s="155">
        <f aca="true" t="shared" si="3" ref="D83:J89">100%+$B$82</f>
        <v>1.1</v>
      </c>
      <c r="E83" s="155">
        <f t="shared" si="3"/>
        <v>1.1</v>
      </c>
      <c r="F83" s="155">
        <v>1</v>
      </c>
      <c r="G83" s="155">
        <v>1</v>
      </c>
      <c r="H83" s="155"/>
      <c r="I83" s="155"/>
      <c r="J83" s="155"/>
      <c r="K83" s="155"/>
      <c r="L83" s="155"/>
      <c r="M83" s="157"/>
    </row>
    <row r="84" spans="3:13" ht="12.75">
      <c r="C84" s="158"/>
      <c r="D84" s="155">
        <f t="shared" si="3"/>
        <v>1.1</v>
      </c>
      <c r="E84" s="155">
        <f t="shared" si="3"/>
        <v>1.1</v>
      </c>
      <c r="F84" s="155">
        <f t="shared" si="3"/>
        <v>1.1</v>
      </c>
      <c r="G84" s="155">
        <v>1</v>
      </c>
      <c r="H84" s="155">
        <v>1</v>
      </c>
      <c r="I84" s="155"/>
      <c r="J84" s="155"/>
      <c r="K84" s="155"/>
      <c r="L84" s="155"/>
      <c r="M84" s="157"/>
    </row>
    <row r="85" spans="3:13" ht="12.75">
      <c r="C85" s="144"/>
      <c r="D85" s="155">
        <f t="shared" si="3"/>
        <v>1.1</v>
      </c>
      <c r="E85" s="155">
        <f t="shared" si="3"/>
        <v>1.1</v>
      </c>
      <c r="F85" s="155">
        <f t="shared" si="3"/>
        <v>1.1</v>
      </c>
      <c r="G85" s="155">
        <f t="shared" si="3"/>
        <v>1.1</v>
      </c>
      <c r="H85" s="155">
        <v>1</v>
      </c>
      <c r="I85" s="155">
        <v>1</v>
      </c>
      <c r="J85" s="155"/>
      <c r="K85" s="155"/>
      <c r="L85" s="155"/>
      <c r="M85" s="157"/>
    </row>
    <row r="86" spans="3:13" ht="12.75">
      <c r="C86" s="144"/>
      <c r="D86" s="155">
        <f t="shared" si="3"/>
        <v>1.1</v>
      </c>
      <c r="E86" s="155">
        <f t="shared" si="3"/>
        <v>1.1</v>
      </c>
      <c r="F86" s="155">
        <f t="shared" si="3"/>
        <v>1.1</v>
      </c>
      <c r="G86" s="155">
        <f t="shared" si="3"/>
        <v>1.1</v>
      </c>
      <c r="H86" s="155">
        <f t="shared" si="3"/>
        <v>1.1</v>
      </c>
      <c r="I86" s="155">
        <v>1</v>
      </c>
      <c r="J86" s="155">
        <v>1</v>
      </c>
      <c r="K86" s="155"/>
      <c r="L86" s="155"/>
      <c r="M86" s="157"/>
    </row>
    <row r="87" spans="3:13" ht="12.75">
      <c r="C87" s="144"/>
      <c r="D87" s="155">
        <f t="shared" si="3"/>
        <v>1.1</v>
      </c>
      <c r="E87" s="155">
        <f t="shared" si="3"/>
        <v>1.1</v>
      </c>
      <c r="F87" s="155">
        <f t="shared" si="3"/>
        <v>1.1</v>
      </c>
      <c r="G87" s="155">
        <f t="shared" si="3"/>
        <v>1.1</v>
      </c>
      <c r="H87" s="155">
        <f t="shared" si="3"/>
        <v>1.1</v>
      </c>
      <c r="I87" s="155">
        <f t="shared" si="3"/>
        <v>1.1</v>
      </c>
      <c r="J87" s="155">
        <v>1</v>
      </c>
      <c r="K87" s="155">
        <v>1</v>
      </c>
      <c r="L87" s="155"/>
      <c r="M87" s="157"/>
    </row>
    <row r="88" spans="3:13" ht="12.75">
      <c r="C88" s="144"/>
      <c r="D88" s="155">
        <f t="shared" si="3"/>
        <v>1.1</v>
      </c>
      <c r="E88" s="155">
        <f t="shared" si="3"/>
        <v>1.1</v>
      </c>
      <c r="F88" s="155">
        <f t="shared" si="3"/>
        <v>1.1</v>
      </c>
      <c r="G88" s="155">
        <f t="shared" si="3"/>
        <v>1.1</v>
      </c>
      <c r="H88" s="155">
        <f t="shared" si="3"/>
        <v>1.1</v>
      </c>
      <c r="I88" s="155">
        <f t="shared" si="3"/>
        <v>1.1</v>
      </c>
      <c r="J88" s="155">
        <f t="shared" si="3"/>
        <v>1.1</v>
      </c>
      <c r="K88" s="155">
        <v>1</v>
      </c>
      <c r="L88" s="155">
        <v>1</v>
      </c>
      <c r="M88" s="157"/>
    </row>
    <row r="89" spans="3:13" ht="12.75">
      <c r="C89" s="144"/>
      <c r="D89" s="159">
        <f t="shared" si="3"/>
        <v>1.1</v>
      </c>
      <c r="E89" s="159">
        <f t="shared" si="3"/>
        <v>1.1</v>
      </c>
      <c r="F89" s="159">
        <f t="shared" si="3"/>
        <v>1.1</v>
      </c>
      <c r="G89" s="159">
        <f t="shared" si="3"/>
        <v>1.1</v>
      </c>
      <c r="H89" s="159">
        <f t="shared" si="3"/>
        <v>1.1</v>
      </c>
      <c r="I89" s="159">
        <f t="shared" si="3"/>
        <v>1.1</v>
      </c>
      <c r="J89" s="159">
        <f t="shared" si="3"/>
        <v>1.1</v>
      </c>
      <c r="K89" s="159">
        <f>100%+$B$82</f>
        <v>1.1</v>
      </c>
      <c r="L89" s="159">
        <v>1</v>
      </c>
      <c r="M89" s="160">
        <v>1</v>
      </c>
    </row>
    <row r="90" spans="3:13" ht="12.75">
      <c r="C90" s="144"/>
      <c r="D90" s="155"/>
      <c r="E90" s="155"/>
      <c r="F90" s="155"/>
      <c r="G90" s="155"/>
      <c r="H90" s="155"/>
      <c r="I90" s="155"/>
      <c r="J90" s="155"/>
      <c r="K90" s="155"/>
      <c r="L90" s="155"/>
      <c r="M90" s="155"/>
    </row>
    <row r="91" spans="3:13" ht="12.75">
      <c r="C91" s="144" t="s">
        <v>98</v>
      </c>
      <c r="D91" s="17">
        <v>1</v>
      </c>
      <c r="E91" s="17">
        <v>2</v>
      </c>
      <c r="F91" s="17">
        <v>3</v>
      </c>
      <c r="G91" s="17">
        <v>4</v>
      </c>
      <c r="H91" s="17">
        <v>5</v>
      </c>
      <c r="I91" s="17">
        <v>6</v>
      </c>
      <c r="J91" s="17">
        <v>7</v>
      </c>
      <c r="K91" s="17">
        <v>8</v>
      </c>
      <c r="L91" s="17">
        <v>9</v>
      </c>
      <c r="M91" s="17">
        <v>10</v>
      </c>
    </row>
    <row r="92" spans="3:13" ht="12.75">
      <c r="C92" s="34"/>
      <c r="D92" s="155"/>
      <c r="E92" s="155"/>
      <c r="F92" s="155"/>
      <c r="G92" s="155"/>
      <c r="H92" s="155"/>
      <c r="I92" s="155"/>
      <c r="J92" s="155"/>
      <c r="K92" s="155"/>
      <c r="L92" s="155"/>
      <c r="M92" s="155"/>
    </row>
    <row r="93" spans="3:13" ht="12.75">
      <c r="C93" s="143" t="s">
        <v>130</v>
      </c>
      <c r="D93" s="151">
        <v>1</v>
      </c>
      <c r="E93" s="151"/>
      <c r="F93" s="151"/>
      <c r="G93" s="151"/>
      <c r="H93" s="151"/>
      <c r="I93" s="151"/>
      <c r="J93" s="151"/>
      <c r="K93" s="151"/>
      <c r="L93" s="151"/>
      <c r="M93" s="161"/>
    </row>
    <row r="94" spans="3:13" ht="12.75">
      <c r="C94" s="143" t="s">
        <v>171</v>
      </c>
      <c r="D94" s="155">
        <v>1</v>
      </c>
      <c r="E94" s="155">
        <v>1</v>
      </c>
      <c r="F94" s="155"/>
      <c r="G94" s="155"/>
      <c r="H94" s="155"/>
      <c r="I94" s="155"/>
      <c r="J94" s="155"/>
      <c r="K94" s="155"/>
      <c r="L94" s="155"/>
      <c r="M94" s="157"/>
    </row>
    <row r="95" spans="1:13" ht="12.75">
      <c r="A95" s="16" t="s">
        <v>129</v>
      </c>
      <c r="B95" s="162">
        <f>'ERR &amp; Sensitivity Analysis'!H21</f>
        <v>0.08</v>
      </c>
      <c r="C95" s="34" t="s">
        <v>169</v>
      </c>
      <c r="D95" s="155">
        <f>100%+$B$95</f>
        <v>1.08</v>
      </c>
      <c r="E95" s="155">
        <v>1</v>
      </c>
      <c r="F95" s="155">
        <v>1</v>
      </c>
      <c r="G95" s="155"/>
      <c r="H95" s="155"/>
      <c r="I95" s="155"/>
      <c r="J95" s="155"/>
      <c r="K95" s="155"/>
      <c r="L95" s="155"/>
      <c r="M95" s="157"/>
    </row>
    <row r="96" spans="3:13" ht="12.75">
      <c r="C96" s="144" t="s">
        <v>100</v>
      </c>
      <c r="D96" s="155">
        <f aca="true" t="shared" si="4" ref="D96:J102">100%+$B$95</f>
        <v>1.08</v>
      </c>
      <c r="E96" s="155">
        <f t="shared" si="4"/>
        <v>1.08</v>
      </c>
      <c r="F96" s="155">
        <v>1</v>
      </c>
      <c r="G96" s="155">
        <v>1</v>
      </c>
      <c r="H96" s="155"/>
      <c r="I96" s="155"/>
      <c r="J96" s="155"/>
      <c r="K96" s="155"/>
      <c r="L96" s="155"/>
      <c r="M96" s="157"/>
    </row>
    <row r="97" spans="3:13" ht="12.75">
      <c r="C97" s="158"/>
      <c r="D97" s="155">
        <f t="shared" si="4"/>
        <v>1.08</v>
      </c>
      <c r="E97" s="155">
        <f t="shared" si="4"/>
        <v>1.08</v>
      </c>
      <c r="F97" s="155">
        <f t="shared" si="4"/>
        <v>1.08</v>
      </c>
      <c r="G97" s="155">
        <v>1</v>
      </c>
      <c r="H97" s="155">
        <v>1</v>
      </c>
      <c r="I97" s="155"/>
      <c r="J97" s="155"/>
      <c r="K97" s="155"/>
      <c r="L97" s="155"/>
      <c r="M97" s="157"/>
    </row>
    <row r="98" spans="3:13" ht="12.75">
      <c r="C98" s="144"/>
      <c r="D98" s="155">
        <f t="shared" si="4"/>
        <v>1.08</v>
      </c>
      <c r="E98" s="155">
        <f t="shared" si="4"/>
        <v>1.08</v>
      </c>
      <c r="F98" s="155">
        <f t="shared" si="4"/>
        <v>1.08</v>
      </c>
      <c r="G98" s="155">
        <f t="shared" si="4"/>
        <v>1.08</v>
      </c>
      <c r="H98" s="155">
        <v>1</v>
      </c>
      <c r="I98" s="155">
        <v>1</v>
      </c>
      <c r="J98" s="155"/>
      <c r="K98" s="155"/>
      <c r="L98" s="155"/>
      <c r="M98" s="157"/>
    </row>
    <row r="99" spans="3:13" ht="12.75">
      <c r="C99" s="144"/>
      <c r="D99" s="155">
        <f t="shared" si="4"/>
        <v>1.08</v>
      </c>
      <c r="E99" s="155">
        <f t="shared" si="4"/>
        <v>1.08</v>
      </c>
      <c r="F99" s="155">
        <f t="shared" si="4"/>
        <v>1.08</v>
      </c>
      <c r="G99" s="155">
        <f t="shared" si="4"/>
        <v>1.08</v>
      </c>
      <c r="H99" s="155">
        <f t="shared" si="4"/>
        <v>1.08</v>
      </c>
      <c r="I99" s="155">
        <v>1</v>
      </c>
      <c r="J99" s="155">
        <v>1</v>
      </c>
      <c r="K99" s="155"/>
      <c r="L99" s="155"/>
      <c r="M99" s="157"/>
    </row>
    <row r="100" spans="3:13" ht="12.75">
      <c r="C100" s="144"/>
      <c r="D100" s="155">
        <f t="shared" si="4"/>
        <v>1.08</v>
      </c>
      <c r="E100" s="155">
        <f t="shared" si="4"/>
        <v>1.08</v>
      </c>
      <c r="F100" s="155">
        <f t="shared" si="4"/>
        <v>1.08</v>
      </c>
      <c r="G100" s="155">
        <f t="shared" si="4"/>
        <v>1.08</v>
      </c>
      <c r="H100" s="155">
        <f t="shared" si="4"/>
        <v>1.08</v>
      </c>
      <c r="I100" s="155">
        <f t="shared" si="4"/>
        <v>1.08</v>
      </c>
      <c r="J100" s="155">
        <v>1</v>
      </c>
      <c r="K100" s="155">
        <v>1</v>
      </c>
      <c r="L100" s="155"/>
      <c r="M100" s="157"/>
    </row>
    <row r="101" spans="3:13" ht="12.75">
      <c r="C101" s="144"/>
      <c r="D101" s="155">
        <f t="shared" si="4"/>
        <v>1.08</v>
      </c>
      <c r="E101" s="155">
        <f t="shared" si="4"/>
        <v>1.08</v>
      </c>
      <c r="F101" s="155">
        <f t="shared" si="4"/>
        <v>1.08</v>
      </c>
      <c r="G101" s="155">
        <f t="shared" si="4"/>
        <v>1.08</v>
      </c>
      <c r="H101" s="155">
        <f t="shared" si="4"/>
        <v>1.08</v>
      </c>
      <c r="I101" s="155">
        <f t="shared" si="4"/>
        <v>1.08</v>
      </c>
      <c r="J101" s="155">
        <f t="shared" si="4"/>
        <v>1.08</v>
      </c>
      <c r="K101" s="155">
        <v>1</v>
      </c>
      <c r="L101" s="155">
        <v>1</v>
      </c>
      <c r="M101" s="157"/>
    </row>
    <row r="102" spans="3:13" ht="12.75">
      <c r="C102" s="144"/>
      <c r="D102" s="159">
        <f t="shared" si="4"/>
        <v>1.08</v>
      </c>
      <c r="E102" s="159">
        <f t="shared" si="4"/>
        <v>1.08</v>
      </c>
      <c r="F102" s="159">
        <f t="shared" si="4"/>
        <v>1.08</v>
      </c>
      <c r="G102" s="159">
        <f t="shared" si="4"/>
        <v>1.08</v>
      </c>
      <c r="H102" s="159">
        <f t="shared" si="4"/>
        <v>1.08</v>
      </c>
      <c r="I102" s="159">
        <f t="shared" si="4"/>
        <v>1.08</v>
      </c>
      <c r="J102" s="159">
        <f t="shared" si="4"/>
        <v>1.08</v>
      </c>
      <c r="K102" s="159">
        <f>100%+$B$95</f>
        <v>1.08</v>
      </c>
      <c r="L102" s="159">
        <v>1</v>
      </c>
      <c r="M102" s="160">
        <v>1</v>
      </c>
    </row>
    <row r="103" spans="3:13" ht="12.75">
      <c r="C103" s="163"/>
      <c r="D103" s="155"/>
      <c r="E103" s="155"/>
      <c r="F103" s="155"/>
      <c r="G103" s="155"/>
      <c r="H103" s="155"/>
      <c r="I103" s="155"/>
      <c r="J103" s="155"/>
      <c r="K103" s="155"/>
      <c r="L103" s="155"/>
      <c r="M103" s="155"/>
    </row>
    <row r="104" spans="1:16" ht="12.75">
      <c r="A104" s="15" t="s">
        <v>46</v>
      </c>
      <c r="B104" s="16"/>
      <c r="C104" s="33"/>
      <c r="D104" s="164"/>
      <c r="O104" s="20"/>
      <c r="P104" s="20"/>
    </row>
    <row r="105" spans="1:16" s="166" customFormat="1" ht="12.75">
      <c r="A105" s="16" t="s">
        <v>48</v>
      </c>
      <c r="B105" s="16"/>
      <c r="C105" s="33"/>
      <c r="D105" s="165">
        <f>'ERR &amp; Sensitivity Analysis'!E16</f>
        <v>1.88</v>
      </c>
      <c r="E105" s="166" t="s">
        <v>49</v>
      </c>
      <c r="O105" s="167"/>
      <c r="P105" s="168"/>
    </row>
    <row r="106" spans="1:16" s="166" customFormat="1" ht="12.75">
      <c r="A106" s="166" t="s">
        <v>51</v>
      </c>
      <c r="D106" s="165">
        <f>'ERR &amp; Sensitivity Analysis'!E17</f>
        <v>38.0205</v>
      </c>
      <c r="E106" s="166" t="s">
        <v>47</v>
      </c>
      <c r="O106" s="168"/>
      <c r="P106" s="168"/>
    </row>
    <row r="107" spans="1:16" s="166" customFormat="1" ht="12.75">
      <c r="A107" s="166" t="s">
        <v>51</v>
      </c>
      <c r="C107" s="169"/>
      <c r="D107" s="170">
        <f>D106/D105*12</f>
        <v>242.6840425531915</v>
      </c>
      <c r="E107" s="166" t="s">
        <v>50</v>
      </c>
      <c r="F107" s="170">
        <f>D106/D105*12</f>
        <v>242.6840425531915</v>
      </c>
      <c r="G107" s="166" t="s">
        <v>64</v>
      </c>
      <c r="O107" s="168"/>
      <c r="P107" s="168"/>
    </row>
    <row r="108" spans="1:4" s="166" customFormat="1" ht="12.75">
      <c r="A108" s="166" t="s">
        <v>58</v>
      </c>
      <c r="C108" s="169"/>
      <c r="D108" s="171"/>
    </row>
    <row r="109" spans="2:5" s="166" customFormat="1" ht="12.75">
      <c r="B109" s="166" t="s">
        <v>59</v>
      </c>
      <c r="C109" s="169"/>
      <c r="D109" s="171">
        <f>$D$114</f>
        <v>250</v>
      </c>
      <c r="E109" s="166" t="s">
        <v>50</v>
      </c>
    </row>
    <row r="110" spans="2:5" s="166" customFormat="1" ht="12.75">
      <c r="B110" s="166" t="s">
        <v>60</v>
      </c>
      <c r="C110" s="169"/>
      <c r="D110" s="171">
        <f>$D$114</f>
        <v>250</v>
      </c>
      <c r="E110" s="166" t="s">
        <v>50</v>
      </c>
    </row>
    <row r="111" spans="2:5" s="166" customFormat="1" ht="12.75">
      <c r="B111" s="166" t="s">
        <v>61</v>
      </c>
      <c r="C111" s="169"/>
      <c r="D111" s="171">
        <f>$D$114</f>
        <v>250</v>
      </c>
      <c r="E111" s="166" t="s">
        <v>50</v>
      </c>
    </row>
    <row r="112" spans="2:5" s="166" customFormat="1" ht="12.75">
      <c r="B112" s="166" t="s">
        <v>94</v>
      </c>
      <c r="C112" s="169"/>
      <c r="D112" s="171">
        <f>$D$114</f>
        <v>250</v>
      </c>
      <c r="E112" s="166" t="s">
        <v>50</v>
      </c>
    </row>
    <row r="113" spans="3:4" s="166" customFormat="1" ht="12.75">
      <c r="C113" s="169"/>
      <c r="D113" s="171"/>
    </row>
    <row r="114" spans="1:5" s="166" customFormat="1" ht="12.75">
      <c r="A114" s="166" t="s">
        <v>62</v>
      </c>
      <c r="C114" s="169"/>
      <c r="D114" s="172">
        <f>'ERR &amp; Sensitivity Analysis'!E18</f>
        <v>250</v>
      </c>
      <c r="E114" s="166" t="s">
        <v>50</v>
      </c>
    </row>
    <row r="115" spans="1:5" s="166" customFormat="1" ht="12.75">
      <c r="A115" s="166" t="s">
        <v>102</v>
      </c>
      <c r="C115" s="169"/>
      <c r="D115" s="375">
        <v>513500</v>
      </c>
      <c r="E115" s="166" t="s">
        <v>101</v>
      </c>
    </row>
    <row r="116" spans="1:5" s="166" customFormat="1" ht="12.75">
      <c r="A116" s="166" t="s">
        <v>103</v>
      </c>
      <c r="C116" s="169"/>
      <c r="D116" s="173">
        <f>'ERR &amp; Sensitivity Analysis'!E19</f>
        <v>0.65</v>
      </c>
      <c r="E116" s="166" t="s">
        <v>108</v>
      </c>
    </row>
    <row r="117" spans="1:5" s="166" customFormat="1" ht="12.75">
      <c r="A117" s="166" t="s">
        <v>164</v>
      </c>
      <c r="C117" s="169"/>
      <c r="D117" s="376">
        <v>3.7</v>
      </c>
      <c r="E117" s="166" t="s">
        <v>163</v>
      </c>
    </row>
    <row r="118" spans="3:4" s="166" customFormat="1" ht="12.75">
      <c r="C118" s="169"/>
      <c r="D118" s="171"/>
    </row>
    <row r="119" spans="1:4" ht="12.75">
      <c r="A119" s="15"/>
      <c r="B119" s="16"/>
      <c r="C119" s="33"/>
      <c r="D119" s="164"/>
    </row>
    <row r="120" spans="2:4" ht="12.75">
      <c r="B120" s="16"/>
      <c r="C120" s="33"/>
      <c r="D120" s="164"/>
    </row>
    <row r="121" spans="2:4" ht="12.75">
      <c r="B121" s="16"/>
      <c r="C121" s="33"/>
      <c r="D121" s="164"/>
    </row>
    <row r="122" spans="2:4" ht="12.75">
      <c r="B122" s="16"/>
      <c r="C122" s="33"/>
      <c r="D122" s="164"/>
    </row>
    <row r="123" spans="2:4" ht="12.75">
      <c r="B123" s="16"/>
      <c r="C123" s="33"/>
      <c r="D123" s="164"/>
    </row>
    <row r="124" spans="2:4" ht="12.75">
      <c r="B124" s="16"/>
      <c r="C124" s="33"/>
      <c r="D124" s="164"/>
    </row>
    <row r="125" spans="2:4" ht="12.75">
      <c r="B125" s="16"/>
      <c r="C125" s="33"/>
      <c r="D125" s="164"/>
    </row>
  </sheetData>
  <sheetProtection/>
  <mergeCells count="3">
    <mergeCell ref="T18:X18"/>
    <mergeCell ref="Q17:X17"/>
    <mergeCell ref="A1:E1"/>
  </mergeCells>
  <conditionalFormatting sqref="A1">
    <cfRule type="cellIs" priority="1" dxfId="1" operator="equal" stopIfTrue="1">
      <formula>0</formula>
    </cfRule>
    <cfRule type="cellIs" priority="2" dxfId="0" operator="notEqual" stopIfTrue="1">
      <formula>0</formula>
    </cfRule>
  </conditionalFormatting>
  <printOptions/>
  <pageMargins left="0.2" right="0.21" top="0.18" bottom="0.38" header="0.5" footer="0.23"/>
  <pageSetup fitToHeight="1" fitToWidth="1" horizontalDpi="600" verticalDpi="600" orientation="portrait" scale="27" r:id="rId3"/>
  <colBreaks count="1" manualBreakCount="1">
    <brk id="15" max="116" man="1"/>
  </colBreaks>
  <ignoredErrors>
    <ignoredError sqref="D34"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Georgia: Enterprise Development Project - Agribusiness Development Activity</dc:title>
  <dc:subject/>
  <dc:creator>Millennium Challenge Corporation</dc:creator>
  <cp:keywords/>
  <dc:description>Created on 08/24/07 by renaming "Ag TA (SBDP) ERR analysis v5.BASE.xls"</dc:description>
  <cp:lastModifiedBy>mcc</cp:lastModifiedBy>
  <cp:lastPrinted>2005-06-28T20:08:55Z</cp:lastPrinted>
  <dcterms:created xsi:type="dcterms:W3CDTF">2005-05-26T20:53:56Z</dcterms:created>
  <dcterms:modified xsi:type="dcterms:W3CDTF">2014-06-03T13:12:27Z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