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80" windowHeight="9930" tabRatio="875" activeTab="0"/>
  </bookViews>
  <sheets>
    <sheet name="User's Guide" sheetId="1" r:id="rId1"/>
    <sheet name="Activity Description" sheetId="2" r:id="rId2"/>
    <sheet name="CB_DATA_" sheetId="3" state="veryHidden" r:id="rId3"/>
    <sheet name="ERR &amp; Sensitivity Analysis" sheetId="4" r:id="rId4"/>
    <sheet name="Cost-Benefit Summary" sheetId="5" r:id="rId5"/>
    <sheet name="ERR Electrification" sheetId="6" r:id="rId6"/>
    <sheet name="Solar Calculations" sheetId="7" r:id="rId7"/>
    <sheet name="Consumer Surplus" sheetId="8" r:id="rId8"/>
    <sheet name="Assumptions" sheetId="9" r:id="rId9"/>
    <sheet name="Poverty Scorecard"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LF0913">'[1]Assumptions'!$G$12</definedName>
    <definedName name="_LF1423">'[1]Assumptions'!$H$12</definedName>
    <definedName name="_LF2433">'[1]Assumptions'!$I$12</definedName>
    <definedName name="_LF2434">'[1]Assumptions'!$I$12</definedName>
    <definedName name="_LU1">'[2]LU'!$A$3:$V$57</definedName>
    <definedName name="_Ref67900143" localSheetId="6">'Solar Calculations'!#REF!</definedName>
    <definedName name="Addgrow">#REF!</definedName>
    <definedName name="annwage">#REF!</definedName>
    <definedName name="asset_life">#REF!</definedName>
    <definedName name="avgwage">'[3]Key Assumptions'!$G$9</definedName>
    <definedName name="avoidedLoss">'[4]Background Sheet 1'!$C$7</definedName>
    <definedName name="billing_hydro">#REF!</definedName>
    <definedName name="billing_subsea">#REF!</definedName>
    <definedName name="billing_td">#REF!</definedName>
    <definedName name="c_tax">'[5]Assumptions'!$D$129</definedName>
    <definedName name="cablife">'[1]Assumptions'!$H$29</definedName>
    <definedName name="CB_273724d9532b4a2c8c112e25db27f57a" localSheetId="3" hidden="1">'ERR &amp; Sensitivity Analysis'!#REF!</definedName>
    <definedName name="CB_539068727a5d4f6bbe18800107aed383" localSheetId="3" hidden="1">'ERR &amp; Sensitivity Analysis'!$D$14</definedName>
    <definedName name="CB_53cbd97d198d4d76acf061a645fadd5d" localSheetId="3" hidden="1">'ERR &amp; Sensitivity Analysis'!$D$13</definedName>
    <definedName name="CB_6b334c9ea2e24c91a87266a754864b48" localSheetId="3" hidden="1">'ERR &amp; Sensitivity Analysis'!#REF!</definedName>
    <definedName name="CB_eb676e5f46074ac692c020eb78b08ab1" localSheetId="3" hidden="1">'ERR &amp; Sensitivity Analysis'!$D$19</definedName>
    <definedName name="CB_ffd2e6f0a6c94096a56a8e3bbfbd2b7b" localSheetId="3" hidden="1">'ERR &amp; Sensitivity Analysis'!#REF!</definedName>
    <definedName name="CBWorkbookPriority" localSheetId="4" hidden="1">-456694519</definedName>
    <definedName name="CBWorkbookPriority" hidden="1">-833603532</definedName>
    <definedName name="CBx_48890028877f4e3fbd18985b187cfdcc" localSheetId="2" hidden="1">"'ERR &amp; Sensitivity Analysis'!$A$1"</definedName>
    <definedName name="CBx_ca890e4de45048768854ca6373d12ec1" localSheetId="2" hidden="1">"'CB_DATA_'!$A$1"</definedName>
    <definedName name="CBx_Sheet_Guid" localSheetId="2" hidden="1">"'ca890e4d-e450-4876-8854-ca6373d12ec1"</definedName>
    <definedName name="CBx_Sheet_Guid" localSheetId="3" hidden="1">"'48890028-877f-4e3f-bd18-985b187cfdcc"</definedName>
    <definedName name="changebene">#REF!</definedName>
    <definedName name="changecosts">#REF!</definedName>
    <definedName name="changeinv">#REF!</definedName>
    <definedName name="Class1_wo_expt">#REF!</definedName>
    <definedName name="Class2_wo_expt">#REF!</definedName>
    <definedName name="Class3_wo_expt">#REF!</definedName>
    <definedName name="Corridor">'[6]Benefits'!$C$13</definedName>
    <definedName name="Costs">#REF!</definedName>
    <definedName name="Costs2">'[1]Assumptions'!$W$7:$AB$15</definedName>
    <definedName name="death_rate_stage_III_T">'[7]Diabetes Costs &amp; Benefits'!$C$26</definedName>
    <definedName name="death_rate_stage_III_UT">'[7]Diabetes Costs &amp; Benefits'!$C$25</definedName>
    <definedName name="death_rate_stage_IV_T">'[7]Hypertension Costs &amp; Benefits'!$C$28</definedName>
    <definedName name="death_rate_stage_IV_UT">'[7]Hypertension Costs &amp; Benefits'!$C$27</definedName>
    <definedName name="debt">#REF!</definedName>
    <definedName name="debt_cost">#REF!</definedName>
    <definedName name="DEP">#REF!</definedName>
    <definedName name="DI" hidden="1">-1448428185</definedName>
    <definedName name="diesel_price">#REF!</definedName>
    <definedName name="disc">'[8]Assumptions'!#REF!</definedName>
    <definedName name="discount">#REF!</definedName>
    <definedName name="disease_cases">'[8]Assumptions'!#REF!</definedName>
    <definedName name="DPY">'[3]Key Assumptions'!$G$24</definedName>
    <definedName name="ECF">'[2]LU'!$AF$8</definedName>
    <definedName name="ECON">#REF!</definedName>
    <definedName name="eduwageadd">'[8]Morogoro'!$K$31</definedName>
    <definedName name="eduwagenr">'[8]Morogoro'!$K$29</definedName>
    <definedName name="elasticity">'[6]Benefits'!$C$12</definedName>
    <definedName name="equity">#REF!</definedName>
    <definedName name="EU_import_growth">'[4]Background Sheet 2'!$C$10</definedName>
    <definedName name="EU_share">'[4]Background Sheet 2'!$C$15</definedName>
    <definedName name="ex_rate">#REF!</definedName>
    <definedName name="exch">'[9]Assumptions'!$F$7</definedName>
    <definedName name="exch2">'[10]Basics'!$G$8</definedName>
    <definedName name="farm_density">'[6]Benefits'!$C$15</definedName>
    <definedName name="FBO_outgrowers">'[4]Background Sheet 2'!$C$18</definedName>
    <definedName name="gasswitch">'[1]Assumptions'!$H$47</definedName>
    <definedName name="GM_param">'[6]Benefits'!#REF!</definedName>
    <definedName name="grow">#REF!</definedName>
    <definedName name="Growth_Rate">'[6]Benefits'!$C$14</definedName>
    <definedName name="hydro_cap">#REF!</definedName>
    <definedName name="hydro_opex">#REF!</definedName>
    <definedName name="I_to_II_T_W">'[7]Hypertension Costs &amp; Benefits'!$J$82</definedName>
    <definedName name="I_to_II_T_WO">'[7]Hypertension Costs &amp; Benefits'!$J$32</definedName>
    <definedName name="I_to_II_UT">'[7]Hypertension Costs &amp; Benefits'!$E$32</definedName>
    <definedName name="II_t0_III_T_WO">'[7]Hypertension Costs &amp; Benefits'!$J$33</definedName>
    <definedName name="II_t0_III_UT">'[7]Hypertension Costs &amp; Benefits'!$E$33</definedName>
    <definedName name="II_to_III_T_W">'[7]Hypertension Costs &amp; Benefits'!$J$83</definedName>
    <definedName name="II_to_III_UT">'[7]Diabetes Costs &amp; Benefits'!$E$31</definedName>
    <definedName name="III_to_IV_T_W">'[7]Hypertension Costs &amp; Benefits'!$J$84</definedName>
    <definedName name="III_to_IV_T_WO">'[7]Hypertension Costs &amp; Benefits'!$J$34</definedName>
    <definedName name="III_to_IV_UT">'[7]Hypertension Costs &amp; Benefits'!$E$34</definedName>
    <definedName name="improved_outgrower_prod_ha">'[4]Background Sheet 2'!$C$17</definedName>
    <definedName name="income_comm">#REF!</definedName>
    <definedName name="income_dom">#REF!</definedName>
    <definedName name="income_ind">#REF!</definedName>
    <definedName name="income_p">'[7]Hypertension Costs &amp; Benefits'!$E$6</definedName>
    <definedName name="income_street">#REF!</definedName>
    <definedName name="incrnetchange">#REF!</definedName>
    <definedName name="incrswitch">#REF!</definedName>
    <definedName name="infl">'[3]Key Assumptions'!$G$38</definedName>
    <definedName name="inflation">#REF!</definedName>
    <definedName name="LCC">'[3]Key Assumptions'!$G$38</definedName>
    <definedName name="Lessgrow">#REF!</definedName>
    <definedName name="list">'[8]Assumptions'!#REF!</definedName>
    <definedName name="loadshed">'[1]Assumptions'!#REF!</definedName>
    <definedName name="LOAN">#REF!</definedName>
    <definedName name="loan_period">#REF!</definedName>
    <definedName name="lpb">'[8]Assumptions'!$F$6</definedName>
    <definedName name="LUsum">'[2]Summary'!$A$6:$S$16</definedName>
    <definedName name="lva">'[3]Key Assumptions'!$G$37</definedName>
    <definedName name="major_works_impact">'[6]Benefits'!$C$11</definedName>
    <definedName name="mat_rate">'[5]Assumptions'!$D$125</definedName>
    <definedName name="mat_years">'[5]Assumptions'!$D$127</definedName>
    <definedName name="miniprojrange">#REF!</definedName>
    <definedName name="minor_works_impact">'[6]Benefits'!$C$10</definedName>
    <definedName name="model_start">#REF!</definedName>
    <definedName name="mvacap">'[1]Assumptions'!$H$31</definedName>
    <definedName name="nmarkup">'[8]Assumptions'!#REF!</definedName>
    <definedName name="nucleus_growth">'[4]Background Sheet 2'!$C$14</definedName>
    <definedName name="nucleus_prod">'[4]Background Sheet 2'!$D$25</definedName>
    <definedName name="omcost">'[8]Assumptions'!$F$9</definedName>
    <definedName name="ops_end">#REF!</definedName>
    <definedName name="ops_start">#REF!</definedName>
    <definedName name="outgrower_growth">'[11]Sheet1'!$C$15</definedName>
    <definedName name="outgrower_prod_ha">'[4]Background Sheet 2'!$D$26</definedName>
    <definedName name="PeriodicMain">'[6]Costs'!$C$9</definedName>
    <definedName name="pfactor">'[1]Assumptions'!$H$13</definedName>
    <definedName name="Phasing">#REF!</definedName>
    <definedName name="Phasing2">'[1]Planting'!$F$4:$S$10</definedName>
    <definedName name="pop_growth">'[7]Hypertension Costs &amp; Benefits'!$C$5</definedName>
    <definedName name="pow_importprice">'[1]Assumptions'!$M$8:$O$35</definedName>
    <definedName name="ppatable">'[1]Assumptions'!$L$9:$P$35</definedName>
    <definedName name="price_comm">#REF!</definedName>
    <definedName name="price_dom">#REF!</definedName>
    <definedName name="price_ind">#REF!+#REF!</definedName>
    <definedName name="price_street">#REF!</definedName>
    <definedName name="_xlnm.Print_Area" localSheetId="5">'ERR Electrification'!$B$2:$W$57</definedName>
    <definedName name="_xlnm.Print_Titles" localSheetId="5">'ERR Electrification'!$B:$B,'ERR Electrification'!$2:$3</definedName>
    <definedName name="prod">'[12]Key Assumptions'!$H$41</definedName>
    <definedName name="proj_life">#REF!</definedName>
    <definedName name="PROJECT_NAME">CONCATENATE('[13]User's Guide'!$C$12," (",'[13]User's Guide'!$C$13,")")</definedName>
    <definedName name="project_switch">#REF!</definedName>
    <definedName name="real_disc_rate">#REF!</definedName>
    <definedName name="req_ret">'[5]Assumptions'!$D$129</definedName>
    <definedName name="residcapex">'[1]Assumptions'!$H$49</definedName>
    <definedName name="RoutineMain">'[6]Costs'!$C$8</definedName>
    <definedName name="selected_cap">#REF!</definedName>
    <definedName name="startyear">'[1]Assumptions'!$H$36</definedName>
    <definedName name="STAT">#N/A</definedName>
    <definedName name="sub_cap">#REF!</definedName>
    <definedName name="SUM">#REF!</definedName>
    <definedName name="tariff_case">#REF!</definedName>
    <definedName name="tax_dep">#REF!</definedName>
    <definedName name="tax_rate">#REF!</definedName>
    <definedName name="td_cap">#REF!</definedName>
    <definedName name="td_opex">#REF!</definedName>
    <definedName name="unserved">'[1]Assumptions'!$H$35</definedName>
    <definedName name="UWSSA">'[8]Assumptions'!$E$14:$E$16</definedName>
    <definedName name="voll">'[1]Assumptions'!$H$30</definedName>
    <definedName name="Year1">'[9]Assumptions'!$F$5</definedName>
  </definedNames>
  <calcPr fullCalcOnLoad="1"/>
</workbook>
</file>

<file path=xl/comments8.xml><?xml version="1.0" encoding="utf-8"?>
<comments xmlns="http://schemas.openxmlformats.org/spreadsheetml/2006/main">
  <authors>
    <author>Andrew Carter</author>
  </authors>
  <commentList>
    <comment ref="B476" authorId="0">
      <text>
        <r>
          <rPr>
            <b/>
            <sz val="8"/>
            <rFont val="Tahoma"/>
            <family val="2"/>
          </rPr>
          <t>Andrew Carter:</t>
        </r>
        <r>
          <rPr>
            <sz val="8"/>
            <rFont val="Tahoma"/>
            <family val="2"/>
          </rPr>
          <t xml:space="preserve">
Excluded top 5% as outliers.</t>
        </r>
      </text>
    </comment>
  </commentList>
</comments>
</file>

<file path=xl/sharedStrings.xml><?xml version="1.0" encoding="utf-8"?>
<sst xmlns="http://schemas.openxmlformats.org/spreadsheetml/2006/main" count="329" uniqueCount="256">
  <si>
    <t>Total</t>
  </si>
  <si>
    <t>a</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</si>
  <si>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</si>
  <si>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</si>
  <si>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</si>
  <si>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</si>
  <si>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</si>
  <si>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</si>
  <si>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</si>
  <si>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</si>
  <si>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</si>
  <si>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</si>
  <si>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</si>
  <si>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</si>
  <si>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</si>
  <si>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</si>
  <si>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</si>
  <si>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</si>
  <si>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</si>
  <si>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</si>
  <si>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</si>
  <si>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</si>
  <si>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</si>
  <si>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</si>
  <si>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</si>
  <si>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</si>
  <si>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</si>
  <si>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Compact Admin</t>
  </si>
  <si>
    <t>Construction of new distribution lines</t>
  </si>
  <si>
    <t>Provision of service drops to customers connected to new lines</t>
  </si>
  <si>
    <t>Connections to existing networks</t>
  </si>
  <si>
    <t>25-year ERR</t>
  </si>
  <si>
    <t>BENEFICIARIES</t>
  </si>
  <si>
    <t>El Salvador: Rural Electrification</t>
  </si>
  <si>
    <t>Rural Electrification Projects</t>
  </si>
  <si>
    <t>Price</t>
  </si>
  <si>
    <t>Monthly</t>
  </si>
  <si>
    <t>Consumption</t>
  </si>
  <si>
    <t>The demand curve for electricity is represented by the following function:</t>
  </si>
  <si>
    <t>Consumer surplus</t>
  </si>
  <si>
    <t>Freed resources</t>
  </si>
  <si>
    <t>Network extension</t>
  </si>
  <si>
    <t>ERR and sensitivity analysis</t>
  </si>
  <si>
    <t>Description of key parameters</t>
  </si>
  <si>
    <t>Parameter values</t>
  </si>
  <si>
    <t>Values used in ERR computation</t>
  </si>
  <si>
    <t>Economic rate of return (ERR):</t>
  </si>
  <si>
    <t>ERR &amp; Sensitivity Analysis</t>
  </si>
  <si>
    <t>Assumptions</t>
  </si>
  <si>
    <t>ERR Analysis</t>
  </si>
  <si>
    <t>Benefits from network connections</t>
  </si>
  <si>
    <t>ERR Electrification</t>
  </si>
  <si>
    <r>
      <t>q = a P</t>
    </r>
    <r>
      <rPr>
        <b/>
        <vertAlign val="superscript"/>
        <sz val="10"/>
        <rFont val="Arial"/>
        <family val="2"/>
      </rPr>
      <t>n</t>
    </r>
  </si>
  <si>
    <t>Amount of MCC funds</t>
  </si>
  <si>
    <t>Date</t>
  </si>
  <si>
    <t>Customers connecting to new networks</t>
  </si>
  <si>
    <t>Customers connecting to existing networks</t>
  </si>
  <si>
    <t>Installation of solar panels</t>
  </si>
  <si>
    <t>Installation of solar isolated systems</t>
  </si>
  <si>
    <t>Benefits from solar isolated systems</t>
  </si>
  <si>
    <t>Summary</t>
  </si>
  <si>
    <t>Components</t>
  </si>
  <si>
    <t>Economic Rationale</t>
  </si>
  <si>
    <t>Actual costs as a percentage of estimated costs</t>
  </si>
  <si>
    <t>Actual benefits as a percentage of estimated benefits</t>
  </si>
  <si>
    <t>Specific</t>
  </si>
  <si>
    <t>Price of electricity in network with project (US$/kWh)</t>
  </si>
  <si>
    <t>MCC Estimate</t>
  </si>
  <si>
    <t>User Input</t>
  </si>
  <si>
    <t>All summary parameters set to initial values?</t>
  </si>
  <si>
    <t>80 - 120%</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</si>
  <si>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</si>
  <si>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t xml:space="preserve">   More Info</t>
  </si>
  <si>
    <t>Parameter type</t>
  </si>
  <si>
    <t xml:space="preserve">        1.    Feasibility, design, and environmental and social assessments for new distribution lines.</t>
  </si>
  <si>
    <t xml:space="preserve">        4.    Investment in upgrading distribution networks as necessary to support the anticipated additional load on the system;</t>
  </si>
  <si>
    <t xml:space="preserve">        6.    Contracting a financial analyst to advise the implementing entity on the financial aspects and implications of the 
               unique procurement process associated with this project.</t>
  </si>
  <si>
    <t>One should read this sheet first, as it offers a summary of the activity, a list of components, and states the economic rationale for the activity.</t>
  </si>
  <si>
    <t>A brief summary of the activity's key parameters and ERR calculations.</t>
  </si>
  <si>
    <t>Activity Description</t>
  </si>
  <si>
    <t xml:space="preserve">   Specifically, MCC Funding will support the following:</t>
  </si>
  <si>
    <t>Plausible range</t>
  </si>
  <si>
    <t>20 year ERR</t>
  </si>
  <si>
    <t>Contribution DisCos (15%)</t>
  </si>
  <si>
    <t>Annually</t>
  </si>
  <si>
    <t>20 Years</t>
  </si>
  <si>
    <t>Although above distributional figure was not part of the Investment Memorandum (IM) ERR calculation, it reflects the best information available on parameters as of the IM (1/31/2010)</t>
  </si>
  <si>
    <t>Administration &amp; Predesign</t>
  </si>
  <si>
    <t>Strengthening of existing networks</t>
  </si>
  <si>
    <t>Indoor electric Installation</t>
  </si>
  <si>
    <t>CPI 2007=100</t>
  </si>
  <si>
    <t>Inflation Rate 2014</t>
  </si>
  <si>
    <t>Inflation Adjustment:</t>
  </si>
  <si>
    <t>Annual Compact Admistration Costs, Annual Administration and Predesign, Annual Investment Cost and Disco Contribution are in Nominal Basis,</t>
  </si>
  <si>
    <t>Total Benefits</t>
  </si>
  <si>
    <r>
      <t xml:space="preserve">COST SCENARIO: </t>
    </r>
    <r>
      <rPr>
        <sz val="10"/>
        <rFont val="Arial"/>
        <family val="2"/>
      </rPr>
      <t>Actual costs as a percentage of estimated costs</t>
    </r>
  </si>
  <si>
    <r>
      <t xml:space="preserve">BENEFIT SCENARIO: </t>
    </r>
    <r>
      <rPr>
        <sz val="10"/>
        <rFont val="Arial"/>
        <family val="2"/>
      </rPr>
      <t>Actual benefits as a percentage of estimated benefits</t>
    </r>
  </si>
  <si>
    <t>Inflation</t>
  </si>
  <si>
    <t>Subtotal</t>
  </si>
  <si>
    <r>
      <t xml:space="preserve">INVESTMENT </t>
    </r>
    <r>
      <rPr>
        <sz val="10"/>
        <rFont val="Arial"/>
        <family val="2"/>
      </rPr>
      <t>(expressed in nominal dollars)</t>
    </r>
  </si>
  <si>
    <t>US$ per hh per month</t>
  </si>
  <si>
    <t>Consumer Surplus</t>
  </si>
  <si>
    <t>Freed Resources</t>
  </si>
  <si>
    <t>ERR</t>
  </si>
  <si>
    <t>NPV over 20 years using 10% discount rate</t>
  </si>
  <si>
    <t>antiderivative</t>
  </si>
  <si>
    <t>q</t>
  </si>
  <si>
    <t>p</t>
  </si>
  <si>
    <t>area under curve</t>
  </si>
  <si>
    <t>subtract rectagle</t>
  </si>
  <si>
    <r>
      <t>Elasticity (</t>
    </r>
    <r>
      <rPr>
        <sz val="10"/>
        <rFont val="Symbol"/>
        <family val="1"/>
      </rPr>
      <t>h)</t>
    </r>
  </si>
  <si>
    <t>MCC Cost Ratio, by activity</t>
  </si>
  <si>
    <t>Final MCC Costs not be broken down by activity, assumed same ratio as mid-term ERRs.</t>
  </si>
  <si>
    <t>Number of customers connecting via project, comes from implementer data.</t>
  </si>
  <si>
    <t>% of Consumer Surplus Included</t>
  </si>
  <si>
    <t>0-100%</t>
  </si>
  <si>
    <t>Inflation multiplier to adjust to 2008 dollars</t>
  </si>
  <si>
    <r>
      <t xml:space="preserve">BENEFITS </t>
    </r>
    <r>
      <rPr>
        <sz val="10"/>
        <rFont val="Arial"/>
        <family val="2"/>
      </rPr>
      <t>(expressed in 2008 dollars)</t>
    </r>
  </si>
  <si>
    <t>With Project</t>
  </si>
  <si>
    <t>With Project, Isolated Systems</t>
  </si>
  <si>
    <t>Electric bill, unit price</t>
  </si>
  <si>
    <t>Electric bill, Monthly</t>
  </si>
  <si>
    <t>$</t>
  </si>
  <si>
    <t>Q0</t>
  </si>
  <si>
    <t>P0</t>
  </si>
  <si>
    <t>Q1</t>
  </si>
  <si>
    <t>P1</t>
  </si>
  <si>
    <t>P0_v1</t>
  </si>
  <si>
    <t>Consumer Surplus Calculations</t>
  </si>
  <si>
    <t>ERR version</t>
  </si>
  <si>
    <t>Original ERR</t>
  </si>
  <si>
    <t>Revised ERR</t>
  </si>
  <si>
    <t>MCC Estimated ERRs:</t>
  </si>
  <si>
    <t>Original</t>
  </si>
  <si>
    <t>Revised</t>
  </si>
  <si>
    <t>Closeout</t>
  </si>
  <si>
    <t>$30.9 million</t>
  </si>
  <si>
    <t>Provides the Consumer surplus and cost saving benefits for solar power.</t>
  </si>
  <si>
    <t>Provides the Consumer surplus and cost saving benefits for grid power.</t>
  </si>
  <si>
    <t>Price of electricity, solar system (US$/kWh)`</t>
  </si>
  <si>
    <t>$/kWh</t>
  </si>
  <si>
    <t xml:space="preserve">Last updated:  </t>
  </si>
  <si>
    <t>Electricity Subsidy</t>
  </si>
  <si>
    <t>$/kwh</t>
  </si>
  <si>
    <t>60-100</t>
  </si>
  <si>
    <t>Total in 2008 dollars</t>
  </si>
  <si>
    <t>Details the cost savings benefits resulting from no longer needing to buy candles, kerosene and car batteries recharge, as well as the gains in consumer surplus, and compares them with the construction and maintenance costs over a 20-year time frame.</t>
  </si>
  <si>
    <t>Tables of the assumptions used in calculating the ERRs, including the costs of electricity, candles, kerosene, and car batteries recharge, and the elasticity of demand for them.</t>
  </si>
  <si>
    <t xml:space="preserve">   The Rural Electrification Sub-Activity will extend electricity to households in the Northern Zone that currently are not connected to local power distribution networks. Service will be provided to these households through, as appropriate for the household, investments in the extension of distribution networks, in individual household connections to the network, and in the supply of off-grid solar photovoltaic systems. MCC funding will cover up to 85 percent of the projected investment in the electrification efforts, with contributions from the executing entities comprising the balance of at least 15 percent. </t>
  </si>
  <si>
    <t xml:space="preserve">        5.    Installation of approximately 1,950 solar power systems and the complementary provision of technical assistance for 
               the creation of community associations that will undertake the management of system operations and maintenance;</t>
  </si>
  <si>
    <t>.05-.15</t>
  </si>
  <si>
    <t>.2-.68</t>
  </si>
  <si>
    <t>Electric consumption with connection Kilowatts/hour</t>
  </si>
  <si>
    <t>INVESTMENT</t>
  </si>
  <si>
    <t>Net benefit stream (Thousands USD)</t>
  </si>
  <si>
    <t xml:space="preserve">        2.    Construction of approximately 1,415 km of new distribution lines and the corresponding connection of approximately 
              22,970 households to the expanded network;</t>
  </si>
  <si>
    <t xml:space="preserve">        3.    Connection of over 10,030 households to existing networks via the construction of necessary low voltage extensions;</t>
  </si>
  <si>
    <t>Subsidy (cost)</t>
  </si>
  <si>
    <t>were deflated with correspondent CPI in order to reflect Prices of 2008.  Benefits were based on 2011 household survey and are expressed in 2008 terms.</t>
  </si>
  <si>
    <t>Note:  Estimates</t>
  </si>
  <si>
    <t>$36.2 million</t>
  </si>
  <si>
    <t>Date of ERR</t>
  </si>
  <si>
    <t>Project Description</t>
  </si>
  <si>
    <t>Benefit streams included in ERR</t>
  </si>
  <si>
    <t>Costs included in ERR (not borne by MCC)</t>
  </si>
  <si>
    <t>ERR estimations and time horizon</t>
  </si>
  <si>
    <t xml:space="preserve">The Rural Electrification Sub-Activity will extend electricity to at least 97 percent of the estimated 47,000 households in the Northern Zone that currently are not connected to local power distribution networks. Service will be provided to these households through, as appropriate for the household, investments in the extension of distribution networks, in individual household connections to the network, and in the supply of off-grid solar photovoltaic systems. MCC funding will cover up to 85 percent of the projected investment in the electrification efforts, with contributions from the Government and the executing entities comprising the balance of at least 15 percent. </t>
  </si>
  <si>
    <t>Government of El Salvador and distribution company counterpart contributions</t>
  </si>
  <si>
    <t>24% over 25 years</t>
  </si>
  <si>
    <t>Closeout ERR</t>
  </si>
  <si>
    <t>a. Cost savings over using less efficient sources of energy</t>
  </si>
  <si>
    <t>b. Consumer surplus</t>
  </si>
  <si>
    <t>$37 million</t>
  </si>
  <si>
    <t>16.2% over 20 years</t>
  </si>
  <si>
    <t>Solar Calculations</t>
  </si>
  <si>
    <t>Table of Contents</t>
  </si>
  <si>
    <t xml:space="preserve">   Access to electricity results in immediate and significant financial savings and increased household productivity. Key benefits of electrification include less time and money spent searching for inferior alternatives (e.g., fuel wood, kerosene, and batteries) and reduced negative environmental, health and safety impacts of using these inferior alternatives in the home. The households served by the project will realize an estimated savings of almost USD 119 per year when served by connection to the distribution network (based on a reduction in cost from over USD 4.84/kWh to USD 0.16/kWh), and roughly USD 111 per year when served by a solar photovoltaic system (based on a reduction in cost from over USD 4.84/kWh to USD 0.17/kWh). These savings are equal to more than 11% of the average annual household income in the Northern Zone.</t>
  </si>
  <si>
    <t>All specific parameters set to initial values?</t>
  </si>
  <si>
    <t>User's Guide</t>
  </si>
  <si>
    <t>Compact Year</t>
  </si>
  <si>
    <t>Net Incremental Benefits</t>
  </si>
  <si>
    <t>Cost- Benefit Summary</t>
  </si>
  <si>
    <t>This worksheet presents the aggregated costs and benefits from the project activities year-by-year, calculating a combined ERR</t>
  </si>
  <si>
    <t>Last updated: 07/01/2012</t>
  </si>
  <si>
    <t>Total Costs (2008 USD'000)</t>
  </si>
  <si>
    <t>Rural Electrification Activity</t>
  </si>
  <si>
    <t>Benefits (2008 USD'000)</t>
  </si>
  <si>
    <t>Estimated MCC Investment (2008 USD'000)</t>
  </si>
  <si>
    <t>Present Value (PV) of Benefits:</t>
  </si>
  <si>
    <t>Present Value (PV) of MCC Costs:</t>
  </si>
  <si>
    <r>
      <t xml:space="preserve">Electric bill, Monthly </t>
    </r>
    <r>
      <rPr>
        <i/>
        <sz val="8"/>
        <rFont val="Arial"/>
        <family val="2"/>
      </rPr>
      <t>est.</t>
    </r>
  </si>
  <si>
    <t>Source: 2011 Electrical Survey</t>
  </si>
  <si>
    <r>
      <t xml:space="preserve">Monthly Consumption </t>
    </r>
    <r>
      <rPr>
        <i/>
        <sz val="8"/>
        <rFont val="Arial"/>
        <family val="2"/>
      </rPr>
      <t>est.</t>
    </r>
  </si>
  <si>
    <t>Q0, P0, Q1, P1 taken from 2011 Electrical Survey</t>
  </si>
  <si>
    <t>Demand Function: Q=aP^n</t>
  </si>
  <si>
    <t>P1: Price per kWh with electrical connection</t>
  </si>
  <si>
    <t>n</t>
  </si>
  <si>
    <t>Variable Descriptions</t>
  </si>
  <si>
    <t>a,n : Consumer surplus model demand variables</t>
  </si>
  <si>
    <t>Q0: kWh consumed without electricity</t>
  </si>
  <si>
    <t>P0: Price per kWh without electricity (includes cost and quantity of candles, kerosene, car batteries, etc. consumed)</t>
  </si>
  <si>
    <t>Q1: kWh consumed with an electric connection</t>
  </si>
  <si>
    <t>Savings on Q0 due to price drop</t>
  </si>
  <si>
    <t>Change in CS due to project</t>
  </si>
  <si>
    <t>CS without project</t>
  </si>
  <si>
    <t xml:space="preserve">CS: Consumer surplus </t>
  </si>
  <si>
    <t>CS with Project</t>
  </si>
  <si>
    <t xml:space="preserve">Without project </t>
  </si>
  <si>
    <t>2011 HH Survey/MCC Solar Price Estimates</t>
  </si>
  <si>
    <t xml:space="preserve">With project </t>
  </si>
  <si>
    <t>Price (US$/kWh)</t>
  </si>
  <si>
    <t>Quantity (kWh)</t>
  </si>
  <si>
    <t>Consumption and household expenditure with Isolated Systems with project</t>
  </si>
  <si>
    <t>with project</t>
  </si>
  <si>
    <t>without project</t>
  </si>
  <si>
    <t>Last updated:  7/1/2012</t>
  </si>
  <si>
    <t>19.5% over 20 years</t>
  </si>
  <si>
    <t>Cost/Benefit Summary</t>
  </si>
  <si>
    <t>kWh</t>
  </si>
  <si>
    <t>Poverty Scorecard</t>
  </si>
  <si>
    <t>El Salvador</t>
  </si>
  <si>
    <t>Rural Electric Activity</t>
  </si>
  <si>
    <r>
      <t xml:space="preserve">MCC Cost </t>
    </r>
    <r>
      <rPr>
        <b/>
        <sz val="8"/>
        <rFont val="Arial"/>
        <family val="2"/>
      </rPr>
      <t>(Millions USD)</t>
    </r>
  </si>
  <si>
    <t>20-Year ERR</t>
  </si>
  <si>
    <r>
      <t xml:space="preserve">Present Value </t>
    </r>
    <r>
      <rPr>
        <b/>
        <sz val="8"/>
        <rFont val="Arial"/>
        <family val="2"/>
      </rPr>
      <t>(PV)</t>
    </r>
    <r>
      <rPr>
        <b/>
        <sz val="9"/>
        <rFont val="Arial"/>
        <family val="2"/>
      </rPr>
      <t xml:space="preserve"> of Benefit Stream </t>
    </r>
    <r>
      <rPr>
        <b/>
        <sz val="8"/>
        <rFont val="Arial"/>
        <family val="2"/>
      </rPr>
      <t>(Millions USD)</t>
    </r>
  </si>
  <si>
    <r>
      <t>Present Value (PV) of All Costs (</t>
    </r>
    <r>
      <rPr>
        <b/>
        <sz val="8"/>
        <rFont val="Arial"/>
        <family val="2"/>
      </rPr>
      <t>Millions 2005 PPP $</t>
    </r>
    <r>
      <rPr>
        <b/>
        <sz val="9"/>
        <rFont val="Arial"/>
        <family val="2"/>
      </rPr>
      <t>)</t>
    </r>
  </si>
  <si>
    <t>Consumption per day (PPP $)</t>
  </si>
  <si>
    <t>Beneficiaries</t>
  </si>
  <si>
    <t>&lt; $1.25</t>
  </si>
  <si>
    <r>
      <t xml:space="preserve">&lt; $2 </t>
    </r>
    <r>
      <rPr>
        <vertAlign val="superscript"/>
        <sz val="9"/>
        <rFont val="Arial"/>
        <family val="2"/>
      </rPr>
      <t>1</t>
    </r>
    <r>
      <rPr>
        <sz val="9"/>
        <rFont val="Arial"/>
        <family val="2"/>
      </rPr>
      <t xml:space="preserve"> </t>
    </r>
  </si>
  <si>
    <t>$2-$4</t>
  </si>
  <si>
    <t>&gt; $4</t>
  </si>
  <si>
    <r>
      <t xml:space="preserve">Beneficiary Households in Year 20 </t>
    </r>
    <r>
      <rPr>
        <sz val="8"/>
        <rFont val="Arial"/>
        <family val="2"/>
      </rPr>
      <t>(#)</t>
    </r>
  </si>
  <si>
    <r>
      <t xml:space="preserve">Beneficiary Individuals in Year 20 </t>
    </r>
    <r>
      <rPr>
        <vertAlign val="superscript"/>
        <sz val="9"/>
        <rFont val="Arial"/>
        <family val="2"/>
      </rPr>
      <t>2</t>
    </r>
    <r>
      <rPr>
        <sz val="9"/>
        <rFont val="Arial"/>
        <family val="2"/>
      </rPr>
      <t xml:space="preserve"> </t>
    </r>
    <r>
      <rPr>
        <sz val="8"/>
        <rFont val="Arial"/>
        <family val="2"/>
      </rPr>
      <t>(#)</t>
    </r>
  </si>
  <si>
    <r>
      <t xml:space="preserve">National Population in Year 20 </t>
    </r>
    <r>
      <rPr>
        <vertAlign val="superscript"/>
        <sz val="9"/>
        <rFont val="Arial"/>
        <family val="2"/>
      </rPr>
      <t>3</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</si>
  <si>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4</t>
    </r>
  </si>
  <si>
    <r>
      <t xml:space="preserve">National Population by Poverty Level </t>
    </r>
    <r>
      <rPr>
        <vertAlign val="superscript"/>
        <sz val="9"/>
        <rFont val="Arial"/>
        <family val="2"/>
      </rPr>
      <t>5</t>
    </r>
    <r>
      <rPr>
        <sz val="9"/>
        <rFont val="Arial"/>
        <family val="2"/>
      </rPr>
      <t xml:space="preserve"> </t>
    </r>
    <r>
      <rPr>
        <sz val="8"/>
        <rFont val="Arial"/>
        <family val="2"/>
      </rPr>
      <t>(%)</t>
    </r>
  </si>
  <si>
    <t>The Magnitude of the Benefits</t>
  </si>
  <si>
    <r>
      <t xml:space="preserve">PV of Benefit Stream Per Beneficiary </t>
    </r>
    <r>
      <rPr>
        <sz val="8"/>
        <rFont val="Arial"/>
        <family val="2"/>
      </rPr>
      <t xml:space="preserve">(USD) </t>
    </r>
  </si>
  <si>
    <r>
      <t>PV of Benefit Stream as Share of Annual Income</t>
    </r>
    <r>
      <rPr>
        <sz val="8"/>
        <rFont val="Arial"/>
        <family val="2"/>
      </rPr>
      <t xml:space="preserve"> (%)</t>
    </r>
  </si>
  <si>
    <t>Cost Effectiveness</t>
  </si>
  <si>
    <r>
      <t xml:space="preserve">PV of Benefit Stream/Project Dollar </t>
    </r>
    <r>
      <rPr>
        <sz val="8"/>
        <rFont val="Arial"/>
        <family val="2"/>
      </rPr>
      <t>(USD/USD)</t>
    </r>
  </si>
  <si>
    <r>
      <t xml:space="preserve">GNI per capita </t>
    </r>
    <r>
      <rPr>
        <vertAlign val="superscript"/>
        <sz val="9"/>
        <rFont val="Arial"/>
        <family val="2"/>
      </rPr>
      <t xml:space="preserve">6 </t>
    </r>
    <r>
      <rPr>
        <sz val="9"/>
        <rFont val="Arial"/>
        <family val="2"/>
      </rPr>
      <t>(USD)</t>
    </r>
  </si>
  <si>
    <t>Current National Population</t>
  </si>
  <si>
    <t>NB: all benefits incremental; PVs based on 10% discount rate and exclude MCC costs but net out any local costs</t>
  </si>
  <si>
    <r>
      <t xml:space="preserve">1    </t>
    </r>
    <r>
      <rPr>
        <sz val="8"/>
        <rFont val="Arial"/>
        <family val="2"/>
      </rPr>
      <t>The beneficiaries and population living on less than $2 per day include those under $1.25 per day</t>
    </r>
  </si>
  <si>
    <r>
      <t xml:space="preserve">2    </t>
    </r>
    <r>
      <rPr>
        <sz val="8"/>
        <rFont val="Arial"/>
        <family val="2"/>
      </rPr>
      <t>Electricity Distributors Report, 2012</t>
    </r>
  </si>
  <si>
    <r>
      <t xml:space="preserve">3    </t>
    </r>
    <r>
      <rPr>
        <sz val="8"/>
        <rFont val="Arial"/>
        <family val="2"/>
      </rPr>
      <t>Based on estimated 2009 population (CIA World Factbook), projected to Year 20</t>
    </r>
  </si>
  <si>
    <r>
      <t xml:space="preserve">4,5 </t>
    </r>
    <r>
      <rPr>
        <sz val="8"/>
        <rFont val="Arial"/>
        <family val="2"/>
      </rPr>
      <t>Based on National income distribution figures from ESPS 2005-2006 data</t>
    </r>
  </si>
  <si>
    <r>
      <t xml:space="preserve">6   </t>
    </r>
    <r>
      <rPr>
        <sz val="8"/>
        <rFont val="Arial"/>
        <family val="2"/>
      </rPr>
      <t>See MCC 2009 Scorecard</t>
    </r>
  </si>
  <si>
    <t>This worksheet shows the cost effectiveness of the project broken out into different poverty categories.</t>
  </si>
  <si>
    <t>2008 USD, 10% discount rate</t>
  </si>
  <si>
    <t>10% discount rate</t>
  </si>
  <si>
    <r>
      <t xml:space="preserve">PV of Benefits </t>
    </r>
    <r>
      <rPr>
        <i/>
        <sz val="10"/>
        <rFont val="Arial"/>
        <family val="2"/>
      </rPr>
      <t>(2008 USD)</t>
    </r>
  </si>
  <si>
    <r>
      <t xml:space="preserve">PV of Costs </t>
    </r>
    <r>
      <rPr>
        <i/>
        <sz val="10"/>
        <rFont val="Arial"/>
        <family val="2"/>
      </rPr>
      <t>(2008 USD)</t>
    </r>
  </si>
  <si>
    <r>
      <t xml:space="preserve">PV of Net Benefits </t>
    </r>
    <r>
      <rPr>
        <i/>
        <sz val="10"/>
        <rFont val="Arial"/>
        <family val="2"/>
      </rPr>
      <t>(2008 USD)</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</si>
</sst>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quot;$&quot;#,##0"/>
    <numFmt numFmtId="166" formatCode="&quot;$&quot;#,##0.00"/>
    <numFmt numFmtId="167" formatCode="0.0%"/>
    <numFmt numFmtId="168" formatCode="0.0"/>
    <numFmt numFmtId="169" formatCode="0.000"/>
    <numFmt numFmtId="170" formatCode="_-* #,##0.0\ _€_-;\-* #,##0.0\ _€_-;_-* &quot;-&quot;??\ _€_-;_-@_-"/>
    <numFmt numFmtId="171" formatCode="0.0000"/>
    <numFmt numFmtId="172" formatCode="#,##0.0000_);\(#,##0.0000\)"/>
    <numFmt numFmtId="173" formatCode="0.000%"/>
    <numFmt numFmtId="174" formatCode="_(&quot;$&quot;* #,##0_);_(&quot;$&quot;* \(#,##0\);_(&quot;$&quot;* &quot;-&quot;??_);_(@_)"/>
    <numFmt numFmtId="175" formatCode="0.000_)"/>
    <numFmt numFmtId="176" formatCode="_-* #,##0.00_-;\-* #,##0.00_-;_-* &quot;-&quot;??_-;_-@_-"/>
    <numFmt numFmtId="177" formatCode="&quot;$&quot;#,##0;\-&quot;$&quot;#,##0"/>
    <numFmt numFmtId="178" formatCode="0_)"/>
    <numFmt numFmtId="179" formatCode="0.00_)"/>
    <numFmt numFmtId="180" formatCode="_-* #,##0\ _€_-;\-* #,##0\ _€_-;_-* &quot;-&quot;??\ _€_-;_-@_-"/>
    <numFmt numFmtId="181" formatCode="_(&quot;$&quot;* #,##0.0_);_(&quot;$&quot;* \(#,##0.0\);_(&quot;$&quot;* &quot;-&quot;??_);_(@_)"/>
    <numFmt numFmtId="182" formatCode="_(* #,##0_);_(* \(#,##0\);_(* &quot;-&quot;??_);_(@_)"/>
    <numFmt numFmtId="183" formatCode="0.0,,"/>
  </numFmts>
  <fonts count="121">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10"/>
      <color indexed="9"/>
      <name val="Arial"/>
      <family val="2"/>
    </font>
    <font>
      <b/>
      <sz val="12"/>
      <name val="Arial"/>
      <family val="2"/>
    </font>
    <font>
      <b/>
      <sz val="10"/>
      <color indexed="12"/>
      <name val="Arial"/>
      <family val="2"/>
    </font>
    <font>
      <b/>
      <sz val="16"/>
      <name val="Arial"/>
      <family val="2"/>
    </font>
    <font>
      <b/>
      <sz val="18"/>
      <color indexed="32"/>
      <name val="Arial"/>
      <family val="2"/>
    </font>
    <font>
      <sz val="14"/>
      <name val="Arial"/>
      <family val="2"/>
    </font>
    <font>
      <b/>
      <u val="single"/>
      <sz val="10"/>
      <name val="Arial"/>
      <family val="2"/>
    </font>
    <font>
      <sz val="10"/>
      <color indexed="12"/>
      <name val="Arial"/>
      <family val="2"/>
    </font>
    <font>
      <b/>
      <vertAlign val="superscript"/>
      <sz val="10"/>
      <name val="Arial"/>
      <family val="2"/>
    </font>
    <font>
      <sz val="10"/>
      <color indexed="23"/>
      <name val="Arial"/>
      <family val="2"/>
    </font>
    <font>
      <b/>
      <sz val="10"/>
      <color indexed="55"/>
      <name val="Arial"/>
      <family val="2"/>
    </font>
    <font>
      <sz val="8"/>
      <color indexed="17"/>
      <name val="Arial"/>
      <family val="2"/>
    </font>
    <font>
      <sz val="8"/>
      <name val="Tahoma"/>
      <family val="2"/>
    </font>
    <font>
      <b/>
      <sz val="8"/>
      <name val="Tahoma"/>
      <family val="2"/>
    </font>
    <font>
      <b/>
      <sz val="10"/>
      <color indexed="10"/>
      <name val="Arial"/>
      <family val="2"/>
    </font>
    <font>
      <sz val="10"/>
      <color indexed="10"/>
      <name val="Arial"/>
      <family val="2"/>
    </font>
    <font>
      <sz val="12"/>
      <color indexed="10"/>
      <name val="Arial"/>
      <family val="2"/>
    </font>
    <font>
      <sz val="8"/>
      <color indexed="10"/>
      <name val="Arial"/>
      <family val="2"/>
    </font>
    <font>
      <b/>
      <sz val="10"/>
      <color indexed="23"/>
      <name val="Arial"/>
      <family val="2"/>
    </font>
    <font>
      <i/>
      <sz val="10"/>
      <color indexed="23"/>
      <name val="Arial"/>
      <family val="2"/>
    </font>
    <font>
      <sz val="10"/>
      <name val="Symbol"/>
      <family val="1"/>
    </font>
    <font>
      <sz val="10"/>
      <color indexed="55"/>
      <name val="Arial"/>
      <family val="2"/>
    </font>
    <font>
      <i/>
      <sz val="10"/>
      <name val="Arial"/>
      <family val="2"/>
    </font>
    <font>
      <sz val="11"/>
      <color indexed="53"/>
      <name val="Calibri"/>
      <family val="2"/>
    </font>
    <font>
      <sz val="11"/>
      <name val="Tms Rmn"/>
      <family val="0"/>
    </font>
    <font>
      <sz val="10"/>
      <color indexed="8"/>
      <name val="Arial"/>
      <family val="2"/>
    </font>
    <font>
      <sz val="10"/>
      <name val="Times New Roman"/>
      <family val="1"/>
    </font>
    <font>
      <sz val="18"/>
      <name val="Times New Roman"/>
      <family val="1"/>
    </font>
    <font>
      <sz val="8"/>
      <name val="Times New Roman"/>
      <family val="1"/>
    </font>
    <font>
      <i/>
      <sz val="12"/>
      <name val="Times New Roman"/>
      <family val="1"/>
    </font>
    <font>
      <sz val="12"/>
      <name val="Arial"/>
      <family val="2"/>
    </font>
    <font>
      <sz val="18"/>
      <name val="Arial"/>
      <family val="2"/>
    </font>
    <font>
      <i/>
      <sz val="12"/>
      <name val="Arial"/>
      <family val="2"/>
    </font>
    <font>
      <b/>
      <sz val="12"/>
      <name val="Helvetica"/>
      <family val="0"/>
    </font>
    <font>
      <u val="single"/>
      <sz val="11"/>
      <color indexed="12"/>
      <name val="Calibri"/>
      <family val="2"/>
    </font>
    <font>
      <sz val="10"/>
      <name val="Geneva"/>
      <family val="0"/>
    </font>
    <font>
      <b/>
      <i/>
      <sz val="16"/>
      <name val="Helv"/>
      <family val="0"/>
    </font>
    <font>
      <sz val="10"/>
      <name val="MS Sans Serif"/>
      <family val="2"/>
    </font>
    <font>
      <sz val="10"/>
      <color indexed="8"/>
      <name val="MS Sans Serif"/>
      <family val="2"/>
    </font>
    <font>
      <sz val="9"/>
      <name val="Helvetica"/>
      <family val="0"/>
    </font>
    <font>
      <b/>
      <i/>
      <sz val="9"/>
      <name val="Helvetica"/>
      <family val="0"/>
    </font>
    <font>
      <i/>
      <sz val="8"/>
      <name val="Arial"/>
      <family val="2"/>
    </font>
    <font>
      <b/>
      <sz val="8"/>
      <name val="Arial"/>
      <family val="2"/>
    </font>
    <font>
      <u val="single"/>
      <sz val="8"/>
      <name val="Arial"/>
      <family val="2"/>
    </font>
    <font>
      <i/>
      <sz val="8"/>
      <color indexed="23"/>
      <name val="Arial"/>
      <family val="2"/>
    </font>
    <font>
      <i/>
      <u val="single"/>
      <sz val="8"/>
      <color indexed="23"/>
      <name val="Arial"/>
      <family val="2"/>
    </font>
    <font>
      <u val="single"/>
      <sz val="10"/>
      <name val="Arial"/>
      <family val="2"/>
    </font>
    <font>
      <sz val="9"/>
      <color indexed="23"/>
      <name val="Arial"/>
      <family val="2"/>
    </font>
    <font>
      <sz val="9"/>
      <name val="Arial"/>
      <family val="2"/>
    </font>
    <font>
      <i/>
      <sz val="9"/>
      <color indexed="23"/>
      <name val="Arial"/>
      <family val="2"/>
    </font>
    <font>
      <b/>
      <sz val="9"/>
      <color indexed="10"/>
      <name val="Arial"/>
      <family val="2"/>
    </font>
    <font>
      <b/>
      <u val="single"/>
      <sz val="9"/>
      <color indexed="23"/>
      <name val="Arial"/>
      <family val="2"/>
    </font>
    <font>
      <sz val="10"/>
      <color indexed="9"/>
      <name val="Arial"/>
      <family val="2"/>
    </font>
    <font>
      <b/>
      <sz val="12"/>
      <color indexed="12"/>
      <name val="Arial"/>
      <family val="2"/>
    </font>
    <font>
      <sz val="10"/>
      <color indexed="42"/>
      <name val="Arial"/>
      <family val="2"/>
    </font>
    <font>
      <b/>
      <sz val="11"/>
      <name val="Arial"/>
      <family val="2"/>
    </font>
    <font>
      <b/>
      <sz val="9"/>
      <name val="Arial"/>
      <family val="2"/>
    </font>
    <font>
      <vertAlign val="superscript"/>
      <sz val="9"/>
      <name val="Arial"/>
      <family val="2"/>
    </font>
    <font>
      <vertAlign val="superscript"/>
      <sz val="8"/>
      <name val="Arial"/>
      <family val="2"/>
    </font>
    <font>
      <sz val="9"/>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12"/>
      <color indexed="8"/>
      <name val="Arial"/>
      <family val="2"/>
    </font>
    <font>
      <sz val="2.5"/>
      <color indexed="8"/>
      <name val="Arial"/>
      <family val="2"/>
    </font>
    <font>
      <sz val="1.9"/>
      <color indexed="8"/>
      <name val="Arial"/>
      <family val="2"/>
    </font>
    <font>
      <sz val="11"/>
      <color theme="1"/>
      <name val="Calibri"/>
      <family val="2"/>
    </font>
    <font>
      <sz val="11"/>
      <color theme="0"/>
      <name val="Calibri"/>
      <family val="2"/>
    </font>
    <font>
      <sz val="11"/>
      <color theme="9" tint="-0.24993999302387238"/>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8"/>
      <color rgb="FFFF0000"/>
      <name val="Arial"/>
      <family val="2"/>
    </font>
    <font>
      <sz val="12"/>
      <color rgb="FFFF0000"/>
      <name val="Arial"/>
      <family val="2"/>
    </font>
    <font>
      <b/>
      <sz val="10"/>
      <color theme="0"/>
      <name val="Arial"/>
      <family val="2"/>
    </font>
    <font>
      <b/>
      <sz val="10"/>
      <color theme="0" tint="-0.3499799966812134"/>
      <name val="Arial"/>
      <family val="2"/>
    </font>
    <font>
      <sz val="10"/>
      <color theme="0" tint="-0.3499799966812134"/>
      <name val="Arial"/>
      <family val="2"/>
    </font>
    <font>
      <b/>
      <sz val="10"/>
      <color theme="0" tint="-0.4999699890613556"/>
      <name val="Arial"/>
      <family val="2"/>
    </font>
    <font>
      <sz val="8"/>
      <color theme="6" tint="-0.4999699890613556"/>
      <name val="Arial"/>
      <family val="2"/>
    </font>
    <font>
      <sz val="8"/>
      <color rgb="FF008000"/>
      <name val="Arial"/>
      <family val="2"/>
    </font>
    <font>
      <i/>
      <sz val="10"/>
      <color theme="0" tint="-0.4999699890613556"/>
      <name val="Arial"/>
      <family val="2"/>
    </font>
    <font>
      <i/>
      <sz val="8"/>
      <color theme="0" tint="-0.4999699890613556"/>
      <name val="Arial"/>
      <family val="2"/>
    </font>
    <font>
      <i/>
      <u val="single"/>
      <sz val="8"/>
      <color theme="0" tint="-0.4999699890613556"/>
      <name val="Arial"/>
      <family val="2"/>
    </font>
    <font>
      <sz val="9"/>
      <color theme="0" tint="-0.4999699890613556"/>
      <name val="Arial"/>
      <family val="2"/>
    </font>
    <font>
      <i/>
      <sz val="9"/>
      <color theme="0" tint="-0.4999699890613556"/>
      <name val="Arial"/>
      <family val="2"/>
    </font>
    <font>
      <b/>
      <sz val="9"/>
      <color rgb="FFFF0000"/>
      <name val="Arial"/>
      <family val="2"/>
    </font>
    <font>
      <b/>
      <u val="single"/>
      <sz val="9"/>
      <color theme="0"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style="medium"/>
    </border>
    <border>
      <left/>
      <right style="thin"/>
      <top style="thin"/>
      <bottom style="medium"/>
    </border>
    <border>
      <left style="thin"/>
      <right style="thin"/>
      <top style="thin"/>
      <bottom/>
    </border>
    <border>
      <left style="thin"/>
      <right style="thin"/>
      <top style="thin"/>
      <bottom style="thin"/>
    </border>
    <border>
      <left style="thin"/>
      <right/>
      <top style="thin"/>
      <bottom style="mediu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double"/>
      <bottom style="thin"/>
    </border>
    <border>
      <left style="thin"/>
      <right style="double"/>
      <top style="thin"/>
      <bottom style="thin"/>
    </border>
    <border>
      <left style="thin"/>
      <right style="double"/>
      <top style="thin"/>
      <bottom/>
    </border>
    <border>
      <left style="thin"/>
      <right style="double"/>
      <top/>
      <bottom style="thin"/>
    </border>
    <border>
      <left style="double"/>
      <right style="thin"/>
      <top style="thin"/>
      <bottom style="thin"/>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indexed="12"/>
      </bottom>
    </border>
    <border>
      <left/>
      <right/>
      <top style="thin">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double"/>
      <right style="thin"/>
      <top/>
      <bottom/>
    </border>
    <border>
      <left style="thin"/>
      <right style="thin"/>
      <top/>
      <bottom style="mediu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1" applyNumberFormat="0" applyFill="0" applyBorder="0" applyAlignment="0" applyProtection="0"/>
    <xf numFmtId="0" fontId="88" fillId="27" borderId="0" applyNumberFormat="0" applyBorder="0" applyAlignment="0" applyProtection="0"/>
    <xf numFmtId="0" fontId="89" fillId="28" borderId="1" applyNumberFormat="0" applyAlignment="0" applyProtection="0"/>
    <xf numFmtId="0" fontId="90" fillId="29" borderId="2" applyNumberFormat="0" applyAlignment="0" applyProtection="0"/>
    <xf numFmtId="164" fontId="0" fillId="0" borderId="0" applyFont="0" applyFill="0" applyBorder="0" applyAlignment="0" applyProtection="0"/>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76" fontId="0" fillId="0" borderId="0" applyFont="0" applyFill="0" applyBorder="0" applyAlignment="0" applyProtection="0"/>
    <xf numFmtId="43" fontId="85"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177" fontId="0" fillId="0" borderId="0" applyFont="0" applyFill="0" applyBorder="0" applyAlignment="0" applyProtection="0"/>
    <xf numFmtId="0" fontId="31" fillId="30" borderId="0" applyNumberFormat="0" applyBorder="0" applyAlignment="0">
      <protection locked="0"/>
    </xf>
    <xf numFmtId="14" fontId="0" fillId="0" borderId="0" applyFont="0" applyFill="0" applyBorder="0" applyAlignment="0" applyProtection="0"/>
    <xf numFmtId="0" fontId="91" fillId="0" borderId="0" applyNumberFormat="0" applyFill="0" applyBorder="0" applyAlignment="0" applyProtection="0"/>
    <xf numFmtId="1" fontId="32" fillId="0" borderId="0" applyProtection="0">
      <alignment/>
    </xf>
    <xf numFmtId="1" fontId="33" fillId="0" borderId="0" applyProtection="0">
      <alignment/>
    </xf>
    <xf numFmtId="1" fontId="34" fillId="0" borderId="0" applyProtection="0">
      <alignment/>
    </xf>
    <xf numFmtId="1" fontId="35" fillId="0" borderId="0" applyProtection="0">
      <alignment/>
    </xf>
    <xf numFmtId="1" fontId="36" fillId="0" borderId="0" applyProtection="0">
      <alignment/>
    </xf>
    <xf numFmtId="1" fontId="2" fillId="0" borderId="0" applyProtection="0">
      <alignment/>
    </xf>
    <xf numFmtId="1" fontId="37" fillId="0" borderId="0" applyProtection="0">
      <alignment/>
    </xf>
    <xf numFmtId="2" fontId="0" fillId="0" borderId="0" applyFont="0" applyFill="0" applyBorder="0" applyAlignment="0" applyProtection="0"/>
    <xf numFmtId="0" fontId="92" fillId="31" borderId="0" applyNumberFormat="0" applyBorder="0" applyAlignment="0" applyProtection="0"/>
    <xf numFmtId="178" fontId="38" fillId="0" borderId="3" applyNumberFormat="0" applyFill="0" applyBorder="0" applyProtection="0">
      <alignment horizontal="left"/>
    </xf>
    <xf numFmtId="0" fontId="93" fillId="0" borderId="4" applyNumberFormat="0" applyFill="0" applyAlignment="0" applyProtection="0"/>
    <xf numFmtId="0" fontId="94" fillId="0" borderId="5" applyNumberFormat="0" applyFill="0" applyAlignment="0" applyProtection="0"/>
    <xf numFmtId="0" fontId="95" fillId="0" borderId="6"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0" borderId="7" applyNumberFormat="0" applyFill="0" applyAlignment="0" applyProtection="0"/>
    <xf numFmtId="0" fontId="40" fillId="0" borderId="0">
      <alignment/>
      <protection/>
    </xf>
    <xf numFmtId="0" fontId="99" fillId="32" borderId="0" applyNumberFormat="0" applyBorder="0" applyAlignment="0" applyProtection="0"/>
    <xf numFmtId="179" fontId="41" fillId="0" borderId="0">
      <alignment/>
      <protection/>
    </xf>
    <xf numFmtId="0" fontId="0" fillId="0" borderId="0">
      <alignment/>
      <protection/>
    </xf>
    <xf numFmtId="0" fontId="85" fillId="0" borderId="0">
      <alignment/>
      <protection/>
    </xf>
    <xf numFmtId="0" fontId="0" fillId="0" borderId="0" applyFont="0" applyFill="0" applyBorder="0" applyAlignment="0" applyProtection="0"/>
    <xf numFmtId="0" fontId="0" fillId="0" borderId="0">
      <alignment/>
      <protection/>
    </xf>
    <xf numFmtId="0" fontId="42" fillId="0" borderId="0">
      <alignment/>
      <protection/>
    </xf>
    <xf numFmtId="0" fontId="30" fillId="0" borderId="0">
      <alignment/>
      <protection/>
    </xf>
    <xf numFmtId="0" fontId="30" fillId="0" borderId="0">
      <alignment/>
      <protection/>
    </xf>
    <xf numFmtId="0" fontId="85" fillId="0" borderId="0">
      <alignment/>
      <protection/>
    </xf>
    <xf numFmtId="0" fontId="43" fillId="0" borderId="0">
      <alignment/>
      <protection/>
    </xf>
    <xf numFmtId="0" fontId="85" fillId="0" borderId="0">
      <alignment/>
      <protection/>
    </xf>
    <xf numFmtId="0" fontId="0" fillId="0" borderId="0">
      <alignment/>
      <protection/>
    </xf>
    <xf numFmtId="0" fontId="31" fillId="0" borderId="0">
      <alignment/>
      <protection/>
    </xf>
    <xf numFmtId="0" fontId="0" fillId="0" borderId="0">
      <alignment/>
      <protection/>
    </xf>
    <xf numFmtId="0" fontId="0" fillId="33" borderId="8" applyNumberFormat="0" applyFont="0" applyAlignment="0" applyProtection="0"/>
    <xf numFmtId="0" fontId="100" fillId="28"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0" fillId="0" borderId="0" applyFont="0" applyFill="0" applyBorder="0" applyAlignment="0" applyProtection="0"/>
    <xf numFmtId="178" fontId="44" fillId="0" borderId="3" applyNumberFormat="0" applyFill="0" applyBorder="0" applyProtection="0">
      <alignment horizontal="left"/>
    </xf>
    <xf numFmtId="0" fontId="101" fillId="0" borderId="0" applyNumberFormat="0" applyFill="0" applyBorder="0" applyAlignment="0" applyProtection="0"/>
    <xf numFmtId="178" fontId="44" fillId="0" borderId="3" applyNumberFormat="0" applyFill="0" applyBorder="0" applyProtection="0">
      <alignment horizontal="right"/>
    </xf>
    <xf numFmtId="0" fontId="102" fillId="0" borderId="10" applyNumberFormat="0" applyFill="0" applyAlignment="0" applyProtection="0"/>
    <xf numFmtId="178" fontId="45" fillId="0" borderId="0" applyNumberFormat="0" applyFill="0" applyBorder="0" applyAlignment="0" applyProtection="0"/>
    <xf numFmtId="0" fontId="103" fillId="0" borderId="0" applyNumberFormat="0" applyFill="0" applyBorder="0" applyAlignment="0" applyProtection="0"/>
  </cellStyleXfs>
  <cellXfs count="464">
    <xf numFmtId="0" fontId="0" fillId="0" borderId="0" xfId="0" applyAlignment="1">
      <alignment/>
    </xf>
    <xf numFmtId="0" fontId="4" fillId="0" borderId="0" xfId="0" applyFont="1" applyAlignment="1">
      <alignment vertical="center"/>
    </xf>
    <xf numFmtId="0" fontId="4" fillId="0" borderId="0" xfId="0" applyFont="1" applyAlignment="1">
      <alignment/>
    </xf>
    <xf numFmtId="3" fontId="0" fillId="0" borderId="0" xfId="0" applyNumberFormat="1" applyAlignment="1">
      <alignment/>
    </xf>
    <xf numFmtId="0" fontId="0" fillId="0" borderId="0" xfId="0" applyBorder="1" applyAlignment="1">
      <alignment/>
    </xf>
    <xf numFmtId="0" fontId="4" fillId="0" borderId="0" xfId="0" applyFont="1" applyAlignment="1">
      <alignment horizontal="right"/>
    </xf>
    <xf numFmtId="0" fontId="8" fillId="0" borderId="0" xfId="0" applyFont="1" applyAlignment="1">
      <alignment/>
    </xf>
    <xf numFmtId="0" fontId="9" fillId="0" borderId="0" xfId="0" applyFont="1" applyAlignment="1">
      <alignment/>
    </xf>
    <xf numFmtId="0" fontId="0" fillId="0" borderId="0" xfId="0" applyFont="1" applyAlignment="1">
      <alignment/>
    </xf>
    <xf numFmtId="0" fontId="10" fillId="0" borderId="0" xfId="0" applyFont="1" applyAlignment="1">
      <alignment/>
    </xf>
    <xf numFmtId="10" fontId="0" fillId="0" borderId="0" xfId="0" applyNumberFormat="1" applyFont="1" applyAlignment="1">
      <alignment/>
    </xf>
    <xf numFmtId="0" fontId="0" fillId="0" borderId="0" xfId="0" applyFont="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11" xfId="0" applyFont="1" applyFill="1" applyBorder="1" applyAlignment="1">
      <alignment/>
    </xf>
    <xf numFmtId="0" fontId="0" fillId="0" borderId="0" xfId="0" applyFont="1" applyFill="1" applyAlignment="1">
      <alignment/>
    </xf>
    <xf numFmtId="0" fontId="2"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2" fontId="0" fillId="0" borderId="0" xfId="0" applyNumberFormat="1" applyFont="1" applyAlignment="1">
      <alignment vertical="center"/>
    </xf>
    <xf numFmtId="0" fontId="0" fillId="0" borderId="3" xfId="0" applyFont="1" applyFill="1" applyBorder="1" applyAlignment="1">
      <alignment vertical="center"/>
    </xf>
    <xf numFmtId="0" fontId="0" fillId="0" borderId="12" xfId="0" applyFont="1" applyFill="1" applyBorder="1" applyAlignment="1">
      <alignment vertical="center"/>
    </xf>
    <xf numFmtId="166" fontId="0" fillId="0" borderId="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2" fontId="4" fillId="0" borderId="0" xfId="0" applyNumberFormat="1" applyFont="1" applyFill="1" applyBorder="1" applyAlignment="1">
      <alignment horizontal="center" vertical="center"/>
    </xf>
    <xf numFmtId="2" fontId="0" fillId="0" borderId="0" xfId="0" applyNumberFormat="1" applyFont="1" applyFill="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wrapText="1"/>
    </xf>
    <xf numFmtId="0" fontId="0" fillId="0" borderId="14" xfId="0" applyFont="1" applyBorder="1" applyAlignment="1">
      <alignment/>
    </xf>
    <xf numFmtId="0" fontId="4" fillId="0" borderId="14" xfId="0" applyFont="1" applyBorder="1" applyAlignment="1">
      <alignment horizontal="left" vertical="center"/>
    </xf>
    <xf numFmtId="0" fontId="0" fillId="0" borderId="14" xfId="0" applyFont="1" applyBorder="1" applyAlignment="1">
      <alignment horizontal="center" vertical="center" wrapText="1"/>
    </xf>
    <xf numFmtId="0" fontId="0" fillId="0" borderId="17" xfId="0" applyFont="1" applyBorder="1" applyAlignment="1">
      <alignment vertical="center"/>
    </xf>
    <xf numFmtId="0" fontId="0" fillId="0" borderId="18" xfId="0" applyFont="1" applyBorder="1" applyAlignment="1">
      <alignment vertical="center"/>
    </xf>
    <xf numFmtId="9" fontId="0" fillId="0" borderId="17"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2" fillId="0" borderId="3" xfId="0" applyFont="1" applyBorder="1" applyAlignment="1">
      <alignment horizontal="center" vertical="center" wrapText="1"/>
    </xf>
    <xf numFmtId="14" fontId="16" fillId="0" borderId="0" xfId="0" applyNumberFormat="1" applyFont="1" applyAlignment="1">
      <alignment horizontal="left"/>
    </xf>
    <xf numFmtId="9" fontId="7" fillId="34" borderId="12"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172" fontId="0" fillId="35" borderId="17" xfId="43" applyNumberFormat="1" applyFont="1" applyFill="1" applyBorder="1" applyAlignment="1">
      <alignment horizontal="center" vertical="center"/>
    </xf>
    <xf numFmtId="0" fontId="4" fillId="0" borderId="22" xfId="0" applyFont="1" applyBorder="1" applyAlignment="1">
      <alignment vertical="center"/>
    </xf>
    <xf numFmtId="0" fontId="8" fillId="0" borderId="0" xfId="0" applyFont="1" applyBorder="1" applyAlignment="1">
      <alignment/>
    </xf>
    <xf numFmtId="0" fontId="10" fillId="0" borderId="0" xfId="0" applyFont="1" applyBorder="1" applyAlignment="1">
      <alignment/>
    </xf>
    <xf numFmtId="0" fontId="0" fillId="0" borderId="0" xfId="0" applyBorder="1" applyAlignment="1">
      <alignment vertical="top"/>
    </xf>
    <xf numFmtId="0" fontId="0" fillId="0" borderId="0" xfId="0" applyFont="1" applyBorder="1" applyAlignment="1">
      <alignment vertical="top" wrapText="1"/>
    </xf>
    <xf numFmtId="0" fontId="0" fillId="0" borderId="0" xfId="0" applyNumberFormat="1" applyBorder="1" applyAlignment="1">
      <alignment wrapText="1"/>
    </xf>
    <xf numFmtId="0" fontId="0" fillId="0" borderId="0" xfId="0" applyBorder="1" applyAlignment="1">
      <alignment wrapText="1"/>
    </xf>
    <xf numFmtId="0" fontId="0" fillId="0" borderId="0" xfId="0" applyBorder="1" applyAlignment="1">
      <alignment horizontal="left" vertical="top"/>
    </xf>
    <xf numFmtId="0" fontId="4" fillId="0" borderId="0" xfId="0" applyFont="1" applyBorder="1" applyAlignment="1">
      <alignment/>
    </xf>
    <xf numFmtId="0" fontId="4" fillId="0" borderId="0" xfId="0" applyFont="1" applyBorder="1" applyAlignment="1">
      <alignment vertical="top" wrapText="1"/>
    </xf>
    <xf numFmtId="0" fontId="4" fillId="0" borderId="0" xfId="0" applyFont="1" applyBorder="1" applyAlignment="1">
      <alignment wrapText="1"/>
    </xf>
    <xf numFmtId="0" fontId="7" fillId="0" borderId="23" xfId="0" applyFont="1" applyBorder="1" applyAlignment="1">
      <alignment horizontal="center" vertical="center" wrapText="1"/>
    </xf>
    <xf numFmtId="167" fontId="5" fillId="36" borderId="22" xfId="0" applyNumberFormat="1" applyFont="1" applyFill="1" applyBorder="1" applyAlignment="1">
      <alignment horizontal="center"/>
    </xf>
    <xf numFmtId="165" fontId="0" fillId="0" borderId="0" xfId="0" applyNumberFormat="1" applyFont="1" applyAlignment="1">
      <alignment horizontal="right"/>
    </xf>
    <xf numFmtId="0" fontId="0" fillId="0" borderId="0" xfId="0" applyFont="1" applyFill="1" applyBorder="1" applyAlignment="1">
      <alignment/>
    </xf>
    <xf numFmtId="2" fontId="104" fillId="34" borderId="12" xfId="0" applyNumberFormat="1" applyFont="1" applyFill="1" applyBorder="1" applyAlignment="1">
      <alignment horizontal="center" vertical="center"/>
    </xf>
    <xf numFmtId="2" fontId="105" fillId="0" borderId="17" xfId="0" applyNumberFormat="1" applyFont="1" applyBorder="1" applyAlignment="1">
      <alignment horizontal="center" vertical="center"/>
    </xf>
    <xf numFmtId="171" fontId="104" fillId="34" borderId="12" xfId="0" applyNumberFormat="1" applyFont="1" applyFill="1" applyBorder="1" applyAlignment="1">
      <alignment horizontal="center" vertical="center"/>
    </xf>
    <xf numFmtId="171" fontId="105" fillId="0" borderId="17" xfId="0" applyNumberFormat="1" applyFont="1" applyBorder="1" applyAlignment="1">
      <alignment horizontal="center" vertical="center"/>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horizontal="justify"/>
    </xf>
    <xf numFmtId="0" fontId="105" fillId="0" borderId="0" xfId="0" applyFont="1" applyAlignment="1">
      <alignment/>
    </xf>
    <xf numFmtId="2" fontId="105" fillId="0" borderId="0" xfId="0" applyNumberFormat="1" applyFont="1" applyAlignment="1">
      <alignment vertical="center"/>
    </xf>
    <xf numFmtId="2" fontId="0" fillId="0" borderId="0" xfId="0" applyNumberFormat="1" applyBorder="1" applyAlignment="1">
      <alignment/>
    </xf>
    <xf numFmtId="14" fontId="106" fillId="0" borderId="0" xfId="0" applyNumberFormat="1" applyFont="1" applyAlignment="1">
      <alignment horizontal="right"/>
    </xf>
    <xf numFmtId="0" fontId="105" fillId="0" borderId="0" xfId="0" applyFont="1" applyAlignment="1">
      <alignment horizontal="center"/>
    </xf>
    <xf numFmtId="0" fontId="105" fillId="0" borderId="0" xfId="0" applyFont="1" applyFill="1" applyAlignment="1">
      <alignment horizontal="center" vertical="center"/>
    </xf>
    <xf numFmtId="0" fontId="0" fillId="0" borderId="0" xfId="0" applyFont="1" applyAlignment="1">
      <alignment horizontal="right"/>
    </xf>
    <xf numFmtId="0" fontId="2" fillId="0" borderId="0" xfId="0" applyFont="1" applyAlignment="1">
      <alignment vertical="center"/>
    </xf>
    <xf numFmtId="3" fontId="0" fillId="0" borderId="0" xfId="0" applyNumberFormat="1" applyFont="1" applyAlignment="1">
      <alignment vertical="center"/>
    </xf>
    <xf numFmtId="165" fontId="0" fillId="0" borderId="11" xfId="0" applyNumberFormat="1" applyFont="1" applyBorder="1" applyAlignment="1">
      <alignment horizontal="right"/>
    </xf>
    <xf numFmtId="0" fontId="0" fillId="0" borderId="11" xfId="0" applyFont="1" applyBorder="1" applyAlignment="1">
      <alignment horizontal="right"/>
    </xf>
    <xf numFmtId="3" fontId="0" fillId="0" borderId="0" xfId="0" applyNumberFormat="1" applyFont="1" applyAlignment="1">
      <alignment horizontal="right"/>
    </xf>
    <xf numFmtId="0" fontId="4" fillId="0" borderId="0" xfId="0" applyFont="1" applyAlignment="1">
      <alignment horizontal="left"/>
    </xf>
    <xf numFmtId="0" fontId="0" fillId="0" borderId="0" xfId="0" applyFont="1" applyAlignment="1">
      <alignment horizontal="left"/>
    </xf>
    <xf numFmtId="170" fontId="0" fillId="0" borderId="0" xfId="43" applyNumberFormat="1" applyFont="1" applyAlignment="1">
      <alignment horizontal="right"/>
    </xf>
    <xf numFmtId="168" fontId="0" fillId="0" borderId="0" xfId="0" applyNumberFormat="1" applyFont="1" applyAlignment="1">
      <alignment horizontal="right"/>
    </xf>
    <xf numFmtId="9" fontId="0" fillId="0" borderId="0" xfId="0" applyNumberFormat="1" applyFont="1" applyAlignment="1">
      <alignment horizontal="right"/>
    </xf>
    <xf numFmtId="0" fontId="0" fillId="0" borderId="0" xfId="0" applyFont="1" applyFill="1" applyAlignment="1">
      <alignment horizontal="right"/>
    </xf>
    <xf numFmtId="169" fontId="0" fillId="0" borderId="11" xfId="107" applyNumberFormat="1" applyFont="1" applyBorder="1" applyAlignment="1">
      <alignment horizontal="right"/>
    </xf>
    <xf numFmtId="9" fontId="7" fillId="0" borderId="0" xfId="0" applyNumberFormat="1" applyFont="1" applyAlignment="1">
      <alignment horizontal="right"/>
    </xf>
    <xf numFmtId="3" fontId="0" fillId="0" borderId="0" xfId="0" applyNumberFormat="1" applyFont="1" applyAlignment="1">
      <alignment horizontal="right" vertical="center"/>
    </xf>
    <xf numFmtId="167" fontId="0" fillId="0" borderId="0" xfId="107" applyNumberFormat="1" applyFont="1" applyAlignment="1">
      <alignment horizontal="right" vertical="center"/>
    </xf>
    <xf numFmtId="0" fontId="104" fillId="0" borderId="0" xfId="0" applyFont="1" applyAlignment="1">
      <alignment/>
    </xf>
    <xf numFmtId="0" fontId="104" fillId="0" borderId="0" xfId="0" applyFont="1" applyAlignment="1">
      <alignment horizontal="right"/>
    </xf>
    <xf numFmtId="0" fontId="0" fillId="0" borderId="0" xfId="0" applyFont="1" applyFill="1" applyAlignment="1">
      <alignment horizontal="right" vertical="center"/>
    </xf>
    <xf numFmtId="165" fontId="4" fillId="0" borderId="0" xfId="0" applyNumberFormat="1" applyFont="1" applyAlignment="1">
      <alignment horizontal="right"/>
    </xf>
    <xf numFmtId="3" fontId="0" fillId="0" borderId="11" xfId="0" applyNumberFormat="1" applyFont="1" applyBorder="1" applyAlignment="1">
      <alignment horizontal="right"/>
    </xf>
    <xf numFmtId="165" fontId="0" fillId="0" borderId="3" xfId="0" applyNumberFormat="1" applyFont="1" applyBorder="1" applyAlignment="1">
      <alignment horizontal="right"/>
    </xf>
    <xf numFmtId="2" fontId="4" fillId="0" borderId="14" xfId="0" applyNumberFormat="1"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8" fontId="0" fillId="0" borderId="0" xfId="0" applyNumberFormat="1" applyFont="1" applyAlignment="1">
      <alignment/>
    </xf>
    <xf numFmtId="173" fontId="0" fillId="0" borderId="0" xfId="107" applyNumberFormat="1" applyFont="1" applyAlignment="1">
      <alignment horizontal="right"/>
    </xf>
    <xf numFmtId="0" fontId="4" fillId="0" borderId="0" xfId="0" applyFont="1" applyFill="1" applyAlignment="1">
      <alignment horizontal="center" vertical="center"/>
    </xf>
    <xf numFmtId="3" fontId="0" fillId="0" borderId="0" xfId="0" applyNumberFormat="1" applyFont="1" applyAlignment="1">
      <alignment/>
    </xf>
    <xf numFmtId="3" fontId="0" fillId="0" borderId="0" xfId="0" applyNumberFormat="1" applyFont="1" applyAlignment="1">
      <alignment/>
    </xf>
    <xf numFmtId="0" fontId="4" fillId="0" borderId="0" xfId="0" applyFont="1" applyFill="1" applyAlignment="1">
      <alignment vertical="center" wrapText="1"/>
    </xf>
    <xf numFmtId="167" fontId="108" fillId="37" borderId="22" xfId="0" applyNumberFormat="1" applyFont="1" applyFill="1" applyBorder="1" applyAlignment="1">
      <alignment horizontal="right"/>
    </xf>
    <xf numFmtId="167" fontId="4" fillId="0" borderId="22" xfId="0" applyNumberFormat="1" applyFont="1" applyBorder="1" applyAlignment="1">
      <alignment horizontal="right"/>
    </xf>
    <xf numFmtId="2"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2" fontId="2" fillId="0" borderId="0" xfId="0" applyNumberFormat="1" applyFont="1" applyBorder="1" applyAlignment="1">
      <alignment vertical="center"/>
    </xf>
    <xf numFmtId="2" fontId="2" fillId="0" borderId="0" xfId="0" applyNumberFormat="1" applyFont="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2" fillId="0" borderId="25" xfId="0" applyFont="1" applyBorder="1" applyAlignment="1">
      <alignment vertical="center"/>
    </xf>
    <xf numFmtId="0" fontId="4" fillId="0" borderId="12" xfId="0" applyFont="1" applyBorder="1" applyAlignment="1">
      <alignment horizontal="left"/>
    </xf>
    <xf numFmtId="0" fontId="0" fillId="0" borderId="12" xfId="0" applyFont="1" applyBorder="1" applyAlignment="1">
      <alignment/>
    </xf>
    <xf numFmtId="165" fontId="0" fillId="0" borderId="0" xfId="0" applyNumberFormat="1" applyFont="1" applyBorder="1" applyAlignment="1">
      <alignment horizontal="right"/>
    </xf>
    <xf numFmtId="166" fontId="0" fillId="0" borderId="0" xfId="0" applyNumberFormat="1" applyFont="1" applyBorder="1" applyAlignment="1">
      <alignment horizontal="right"/>
    </xf>
    <xf numFmtId="166" fontId="0" fillId="0" borderId="16" xfId="0" applyNumberFormat="1" applyFont="1" applyBorder="1" applyAlignment="1">
      <alignment horizontal="right"/>
    </xf>
    <xf numFmtId="0" fontId="0" fillId="0" borderId="26" xfId="0" applyFont="1" applyBorder="1" applyAlignment="1">
      <alignment/>
    </xf>
    <xf numFmtId="166" fontId="0" fillId="0" borderId="11" xfId="0" applyNumberFormat="1" applyFont="1" applyBorder="1" applyAlignment="1">
      <alignment horizontal="right"/>
    </xf>
    <xf numFmtId="166" fontId="0" fillId="0" borderId="27" xfId="0" applyNumberFormat="1" applyFont="1" applyBorder="1" applyAlignment="1">
      <alignment horizontal="right"/>
    </xf>
    <xf numFmtId="3" fontId="0" fillId="0" borderId="0" xfId="0" applyNumberFormat="1" applyFont="1" applyBorder="1" applyAlignment="1">
      <alignment horizontal="right"/>
    </xf>
    <xf numFmtId="8" fontId="0" fillId="0" borderId="0" xfId="0" applyNumberFormat="1" applyFont="1" applyAlignment="1">
      <alignment horizontal="righ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2" fontId="0" fillId="0" borderId="3" xfId="0" applyNumberFormat="1" applyBorder="1" applyAlignment="1">
      <alignment/>
    </xf>
    <xf numFmtId="3" fontId="0" fillId="0" borderId="27" xfId="0" applyNumberFormat="1" applyFont="1" applyBorder="1" applyAlignment="1">
      <alignment horizontal="right"/>
    </xf>
    <xf numFmtId="0" fontId="4" fillId="0" borderId="24" xfId="0" applyFont="1" applyBorder="1" applyAlignment="1">
      <alignment horizontal="left"/>
    </xf>
    <xf numFmtId="3" fontId="0" fillId="0" borderId="0" xfId="0" applyNumberFormat="1" applyFont="1" applyFill="1" applyBorder="1" applyAlignment="1" applyProtection="1">
      <alignment horizontal="center" vertical="center" wrapText="1"/>
      <protection locked="0"/>
    </xf>
    <xf numFmtId="0" fontId="0" fillId="0" borderId="0" xfId="0" applyFont="1" applyAlignment="1">
      <alignment/>
    </xf>
    <xf numFmtId="0" fontId="0" fillId="0" borderId="0" xfId="0" applyFont="1" applyFill="1" applyBorder="1" applyAlignment="1">
      <alignment vertical="center"/>
    </xf>
    <xf numFmtId="0" fontId="0" fillId="0" borderId="0" xfId="92" applyAlignment="1">
      <alignment vertical="center"/>
      <protection/>
    </xf>
    <xf numFmtId="0" fontId="0" fillId="0" borderId="0" xfId="92">
      <alignment/>
      <protection/>
    </xf>
    <xf numFmtId="0" fontId="4" fillId="0" borderId="0" xfId="104" applyFont="1" applyAlignment="1">
      <alignment horizontal="right"/>
      <protection/>
    </xf>
    <xf numFmtId="0" fontId="0" fillId="0" borderId="22" xfId="104" applyFont="1" applyBorder="1">
      <alignment/>
      <protection/>
    </xf>
    <xf numFmtId="0" fontId="109" fillId="0" borderId="22" xfId="104" applyFont="1" applyBorder="1" applyAlignment="1">
      <alignment horizontal="center"/>
      <protection/>
    </xf>
    <xf numFmtId="0" fontId="4" fillId="0" borderId="22" xfId="104" applyFont="1" applyBorder="1">
      <alignment/>
      <protection/>
    </xf>
    <xf numFmtId="167" fontId="110" fillId="0" borderId="22" xfId="104" applyNumberFormat="1" applyFont="1" applyBorder="1" applyAlignment="1">
      <alignment horizontal="center"/>
      <protection/>
    </xf>
    <xf numFmtId="0" fontId="0" fillId="0" borderId="0" xfId="104">
      <alignment/>
      <protection/>
    </xf>
    <xf numFmtId="14" fontId="110" fillId="0" borderId="22" xfId="102" applyNumberFormat="1" applyFont="1" applyBorder="1" applyAlignment="1">
      <alignment horizontal="center" vertical="center" wrapText="1"/>
      <protection/>
    </xf>
    <xf numFmtId="0" fontId="0" fillId="0" borderId="0" xfId="0" applyFont="1" applyBorder="1" applyAlignment="1">
      <alignment horizontal="left" vertical="top" wrapText="1"/>
    </xf>
    <xf numFmtId="0" fontId="3" fillId="0" borderId="0" xfId="84" applyFont="1" applyBorder="1" applyAlignment="1" applyProtection="1">
      <alignment horizontal="left" vertical="top" wrapText="1"/>
      <protection/>
    </xf>
    <xf numFmtId="0" fontId="0" fillId="0" borderId="0" xfId="0" applyFont="1" applyFill="1" applyBorder="1" applyAlignment="1">
      <alignment/>
    </xf>
    <xf numFmtId="9" fontId="104" fillId="34" borderId="26" xfId="0" applyNumberFormat="1" applyFont="1" applyFill="1" applyBorder="1" applyAlignment="1">
      <alignment horizontal="center" vertical="center"/>
    </xf>
    <xf numFmtId="9" fontId="105" fillId="0" borderId="18"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35" borderId="18" xfId="43" applyNumberFormat="1" applyFont="1" applyFill="1" applyBorder="1" applyAlignment="1">
      <alignment horizontal="center" vertical="center"/>
    </xf>
    <xf numFmtId="0" fontId="0" fillId="0" borderId="17" xfId="0" applyFont="1" applyBorder="1" applyAlignment="1">
      <alignment vertical="center"/>
    </xf>
    <xf numFmtId="0" fontId="0" fillId="0" borderId="0" xfId="0" applyFont="1" applyBorder="1" applyAlignment="1">
      <alignment horizontal="center" vertical="center"/>
    </xf>
    <xf numFmtId="0" fontId="0" fillId="0" borderId="12" xfId="0" applyBorder="1" applyAlignment="1">
      <alignment/>
    </xf>
    <xf numFmtId="0" fontId="106" fillId="0" borderId="0" xfId="0" applyFont="1" applyAlignment="1">
      <alignment horizontal="right"/>
    </xf>
    <xf numFmtId="14" fontId="106" fillId="0" borderId="0" xfId="0" applyNumberFormat="1" applyFont="1" applyAlignment="1">
      <alignment horizontal="left"/>
    </xf>
    <xf numFmtId="16" fontId="0" fillId="0" borderId="0" xfId="0" applyNumberFormat="1"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Alignment="1">
      <alignment vertical="center"/>
    </xf>
    <xf numFmtId="0" fontId="4" fillId="0" borderId="0" xfId="0" applyFont="1" applyFill="1" applyAlignment="1">
      <alignment horizontal="left" vertical="center" wrapText="1"/>
    </xf>
    <xf numFmtId="0" fontId="0" fillId="0" borderId="0" xfId="0" applyFont="1" applyFill="1" applyBorder="1" applyAlignment="1">
      <alignment horizontal="center" vertical="center"/>
    </xf>
    <xf numFmtId="0" fontId="111" fillId="0" borderId="28" xfId="0" applyFont="1" applyBorder="1" applyAlignment="1">
      <alignment/>
    </xf>
    <xf numFmtId="0" fontId="8" fillId="0" borderId="0" xfId="0" applyFont="1" applyAlignment="1">
      <alignment vertical="center" wrapText="1"/>
    </xf>
    <xf numFmtId="0" fontId="4" fillId="0" borderId="28" xfId="0" applyFont="1" applyBorder="1" applyAlignment="1">
      <alignment/>
    </xf>
    <xf numFmtId="0" fontId="110" fillId="38" borderId="29" xfId="92" applyFont="1" applyFill="1" applyBorder="1" applyAlignment="1">
      <alignment vertical="center" wrapText="1"/>
      <protection/>
    </xf>
    <xf numFmtId="0" fontId="110" fillId="0" borderId="29" xfId="92" applyFont="1" applyBorder="1" applyAlignment="1">
      <alignment vertical="center" wrapText="1"/>
      <protection/>
    </xf>
    <xf numFmtId="0" fontId="110" fillId="38" borderId="30" xfId="92" applyFont="1" applyFill="1" applyBorder="1" applyAlignment="1">
      <alignment vertical="center" wrapText="1"/>
      <protection/>
    </xf>
    <xf numFmtId="14" fontId="110" fillId="38" borderId="29" xfId="92" applyNumberFormat="1" applyFont="1" applyFill="1" applyBorder="1" applyAlignment="1">
      <alignment horizontal="left" vertical="center" wrapText="1"/>
      <protection/>
    </xf>
    <xf numFmtId="0" fontId="110" fillId="38" borderId="29" xfId="92" applyFont="1" applyFill="1" applyBorder="1" applyAlignment="1">
      <alignment horizontal="left" vertical="center" wrapText="1"/>
      <protection/>
    </xf>
    <xf numFmtId="0" fontId="110" fillId="0" borderId="30" xfId="0" applyFont="1" applyBorder="1" applyAlignment="1">
      <alignment horizontal="left" vertical="center" wrapText="1"/>
    </xf>
    <xf numFmtId="0" fontId="110" fillId="0" borderId="31" xfId="0" applyFont="1" applyBorder="1" applyAlignment="1">
      <alignment horizontal="left" vertical="center" wrapText="1"/>
    </xf>
    <xf numFmtId="0" fontId="110" fillId="0" borderId="29" xfId="92" applyFont="1" applyBorder="1" applyAlignment="1">
      <alignment horizontal="left" vertical="center" wrapText="1"/>
      <protection/>
    </xf>
    <xf numFmtId="0" fontId="110" fillId="38" borderId="30" xfId="92" applyFont="1" applyFill="1" applyBorder="1" applyAlignment="1">
      <alignment horizontal="left" vertical="center" wrapText="1"/>
      <protection/>
    </xf>
    <xf numFmtId="0" fontId="111" fillId="0" borderId="28" xfId="0" applyFont="1" applyBorder="1" applyAlignment="1">
      <alignment/>
    </xf>
    <xf numFmtId="14" fontId="0" fillId="38" borderId="29" xfId="92" applyNumberFormat="1" applyFont="1" applyFill="1" applyBorder="1" applyAlignment="1">
      <alignment horizontal="left" vertical="center" wrapText="1"/>
      <protection/>
    </xf>
    <xf numFmtId="0" fontId="0" fillId="38" borderId="29" xfId="92" applyFont="1" applyFill="1" applyBorder="1" applyAlignment="1">
      <alignment horizontal="left" vertical="center" wrapText="1"/>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92" applyFont="1" applyBorder="1" applyAlignment="1">
      <alignment horizontal="left" vertical="center" wrapText="1"/>
      <protection/>
    </xf>
    <xf numFmtId="0" fontId="0" fillId="38" borderId="30" xfId="92" applyFont="1" applyFill="1" applyBorder="1" applyAlignment="1">
      <alignment horizontal="left" vertical="center" wrapText="1"/>
      <protection/>
    </xf>
    <xf numFmtId="0" fontId="4" fillId="0" borderId="32" xfId="92" applyFont="1" applyBorder="1" applyAlignment="1">
      <alignment horizontal="left" vertical="center" wrapText="1"/>
      <protection/>
    </xf>
    <xf numFmtId="0" fontId="3" fillId="0" borderId="0" xfId="84" applyBorder="1" applyAlignment="1" applyProtection="1">
      <alignment horizontal="left" vertical="top" wrapText="1"/>
      <protection/>
    </xf>
    <xf numFmtId="0" fontId="0" fillId="38" borderId="0" xfId="92" applyFont="1" applyFill="1" applyBorder="1" applyAlignment="1">
      <alignment horizontal="left" vertical="center" wrapText="1"/>
      <protection/>
    </xf>
    <xf numFmtId="0" fontId="110" fillId="38" borderId="3" xfId="92" applyFont="1" applyFill="1" applyBorder="1" applyAlignment="1">
      <alignment horizontal="left" vertical="center" wrapText="1"/>
      <protection/>
    </xf>
    <xf numFmtId="0" fontId="110" fillId="38" borderId="3" xfId="92" applyFont="1" applyFill="1" applyBorder="1" applyAlignment="1">
      <alignment vertical="center" wrapText="1"/>
      <protection/>
    </xf>
    <xf numFmtId="0" fontId="0" fillId="38" borderId="3" xfId="92" applyFont="1" applyFill="1" applyBorder="1" applyAlignment="1">
      <alignment horizontal="left" vertical="center" wrapText="1"/>
      <protection/>
    </xf>
    <xf numFmtId="0" fontId="4" fillId="0" borderId="3" xfId="92" applyFont="1" applyBorder="1" applyAlignment="1">
      <alignment horizontal="left" vertical="center" wrapText="1"/>
      <protection/>
    </xf>
    <xf numFmtId="0" fontId="0" fillId="0" borderId="0" xfId="0" applyFont="1" applyBorder="1" applyAlignment="1">
      <alignment horizontal="left" vertical="center" wrapText="1"/>
    </xf>
    <xf numFmtId="0" fontId="4" fillId="0" borderId="0" xfId="0" applyFont="1" applyBorder="1" applyAlignment="1">
      <alignment horizontal="left"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Font="1" applyFill="1" applyBorder="1" applyAlignment="1">
      <alignment horizontal="left" vertical="top" wrapText="1"/>
    </xf>
    <xf numFmtId="0" fontId="3" fillId="0" borderId="0" xfId="84" applyFill="1" applyBorder="1" applyAlignment="1" applyProtection="1">
      <alignment horizontal="left" vertical="top" wrapText="1"/>
      <protection/>
    </xf>
    <xf numFmtId="0" fontId="3" fillId="0" borderId="0" xfId="84" applyBorder="1" applyAlignment="1" applyProtection="1">
      <alignment horizontal="left"/>
      <protection/>
    </xf>
    <xf numFmtId="0" fontId="0" fillId="0" borderId="0" xfId="0" applyFont="1" applyFill="1" applyBorder="1" applyAlignment="1">
      <alignment horizontal="left"/>
    </xf>
    <xf numFmtId="0" fontId="112" fillId="0" borderId="0" xfId="0" applyFont="1" applyAlignment="1">
      <alignment horizontal="right"/>
    </xf>
    <xf numFmtId="14" fontId="112" fillId="0" borderId="0" xfId="0" applyNumberFormat="1" applyFont="1" applyAlignment="1">
      <alignment horizontal="left"/>
    </xf>
    <xf numFmtId="0" fontId="0" fillId="0" borderId="0" xfId="0" applyNumberFormat="1" applyFont="1" applyBorder="1" applyAlignment="1">
      <alignment wrapText="1"/>
    </xf>
    <xf numFmtId="0" fontId="112" fillId="0" borderId="0" xfId="0" applyFont="1" applyAlignment="1">
      <alignment/>
    </xf>
    <xf numFmtId="0" fontId="14" fillId="0" borderId="21" xfId="104" applyFont="1" applyBorder="1" applyAlignment="1">
      <alignment horizontal="center" vertical="center" wrapText="1"/>
      <protection/>
    </xf>
    <xf numFmtId="39" fontId="0" fillId="35" borderId="21" xfId="43" applyNumberFormat="1" applyFont="1" applyFill="1" applyBorder="1" applyAlignment="1">
      <alignment horizontal="center" vertical="center"/>
    </xf>
    <xf numFmtId="0" fontId="3" fillId="0" borderId="17" xfId="84" applyBorder="1" applyAlignment="1" applyProtection="1">
      <alignment vertical="center"/>
      <protection/>
    </xf>
    <xf numFmtId="0" fontId="3" fillId="0" borderId="18" xfId="84" applyBorder="1" applyAlignment="1" applyProtection="1">
      <alignment vertical="center"/>
      <protection/>
    </xf>
    <xf numFmtId="0" fontId="4" fillId="0" borderId="22" xfId="92" applyFont="1" applyBorder="1" applyAlignment="1">
      <alignment horizontal="center"/>
      <protection/>
    </xf>
    <xf numFmtId="167" fontId="4" fillId="0" borderId="22" xfId="92" applyNumberFormat="1" applyFont="1" applyBorder="1" applyAlignment="1">
      <alignment horizontal="center"/>
      <protection/>
    </xf>
    <xf numFmtId="14" fontId="4" fillId="0" borderId="22" xfId="92" applyNumberFormat="1" applyFont="1" applyBorder="1" applyAlignment="1">
      <alignment horizontal="center"/>
      <protection/>
    </xf>
    <xf numFmtId="0" fontId="0" fillId="0" borderId="18" xfId="0" applyFont="1" applyFill="1" applyBorder="1" applyAlignment="1">
      <alignment vertical="center"/>
    </xf>
    <xf numFmtId="0" fontId="4" fillId="0" borderId="0" xfId="92" applyFont="1" applyFill="1" applyAlignment="1">
      <alignment vertical="center" wrapText="1"/>
      <protection/>
    </xf>
    <xf numFmtId="0" fontId="113" fillId="0" borderId="0" xfId="102" applyFont="1" applyAlignment="1">
      <alignment horizontal="right"/>
      <protection/>
    </xf>
    <xf numFmtId="0" fontId="0" fillId="0" borderId="0" xfId="92" applyFont="1" applyFill="1">
      <alignment/>
      <protection/>
    </xf>
    <xf numFmtId="0" fontId="113" fillId="0" borderId="0" xfId="102" applyFont="1">
      <alignment/>
      <protection/>
    </xf>
    <xf numFmtId="0" fontId="113" fillId="0" borderId="0" xfId="102" applyFont="1" applyBorder="1" applyAlignment="1">
      <alignment/>
      <protection/>
    </xf>
    <xf numFmtId="0" fontId="0" fillId="0" borderId="0" xfId="92" applyFont="1" applyFill="1" applyBorder="1" applyAlignment="1">
      <alignment horizontal="left"/>
      <protection/>
    </xf>
    <xf numFmtId="0" fontId="8" fillId="0" borderId="0" xfId="102" applyFont="1" applyBorder="1" applyAlignment="1">
      <alignment/>
      <protection/>
    </xf>
    <xf numFmtId="0" fontId="4" fillId="0" borderId="0" xfId="92" applyFont="1" applyFill="1" applyAlignment="1">
      <alignment horizontal="left" vertical="center" wrapText="1"/>
      <protection/>
    </xf>
    <xf numFmtId="0" fontId="0" fillId="0" borderId="0" xfId="92" applyFont="1" applyFill="1" applyBorder="1">
      <alignment/>
      <protection/>
    </xf>
    <xf numFmtId="0" fontId="113" fillId="0" borderId="0" xfId="102" applyFont="1" applyAlignment="1">
      <alignment horizontal="left"/>
      <protection/>
    </xf>
    <xf numFmtId="0" fontId="0" fillId="0" borderId="0" xfId="102">
      <alignment/>
      <protection/>
    </xf>
    <xf numFmtId="0" fontId="0" fillId="0" borderId="0" xfId="92" applyFont="1">
      <alignment/>
      <protection/>
    </xf>
    <xf numFmtId="0" fontId="4" fillId="0" borderId="0" xfId="92" applyFont="1">
      <alignment/>
      <protection/>
    </xf>
    <xf numFmtId="0" fontId="4" fillId="0" borderId="11" xfId="92" applyFont="1" applyBorder="1">
      <alignment/>
      <protection/>
    </xf>
    <xf numFmtId="0" fontId="4" fillId="0" borderId="0" xfId="92" applyFont="1" applyBorder="1">
      <alignment/>
      <protection/>
    </xf>
    <xf numFmtId="1" fontId="0" fillId="0" borderId="0" xfId="92" applyNumberFormat="1" applyFont="1">
      <alignment/>
      <protection/>
    </xf>
    <xf numFmtId="0" fontId="0" fillId="0" borderId="0" xfId="92" applyFill="1" applyBorder="1" applyAlignment="1">
      <alignment vertical="center" wrapText="1"/>
      <protection/>
    </xf>
    <xf numFmtId="0" fontId="0" fillId="0" borderId="0" xfId="92" applyFill="1">
      <alignment/>
      <protection/>
    </xf>
    <xf numFmtId="174" fontId="0" fillId="0" borderId="0" xfId="62" applyNumberFormat="1" applyFont="1" applyFill="1" applyAlignment="1">
      <alignment/>
    </xf>
    <xf numFmtId="0" fontId="4" fillId="0" borderId="0" xfId="0" applyFont="1" applyFill="1" applyAlignment="1">
      <alignment horizontal="center" vertical="center" wrapText="1"/>
    </xf>
    <xf numFmtId="174" fontId="0" fillId="0" borderId="0" xfId="60" applyNumberFormat="1" applyFont="1" applyAlignment="1">
      <alignment/>
    </xf>
    <xf numFmtId="174" fontId="0" fillId="0" borderId="0" xfId="60" applyNumberFormat="1" applyFont="1" applyFill="1" applyAlignment="1">
      <alignment/>
    </xf>
    <xf numFmtId="174" fontId="0" fillId="0" borderId="0" xfId="92" applyNumberFormat="1" applyFont="1">
      <alignment/>
      <protection/>
    </xf>
    <xf numFmtId="0" fontId="4" fillId="0" borderId="0" xfId="0" applyFont="1" applyFill="1" applyAlignment="1">
      <alignment horizontal="right"/>
    </xf>
    <xf numFmtId="174" fontId="4" fillId="0" borderId="22" xfId="62" applyNumberFormat="1" applyFont="1" applyFill="1" applyBorder="1" applyAlignment="1">
      <alignment/>
    </xf>
    <xf numFmtId="174" fontId="4" fillId="0" borderId="0" xfId="62" applyNumberFormat="1" applyFont="1" applyFill="1" applyAlignment="1">
      <alignment/>
    </xf>
    <xf numFmtId="174" fontId="4" fillId="0" borderId="0" xfId="62" applyNumberFormat="1" applyFont="1" applyFill="1" applyBorder="1" applyAlignment="1">
      <alignment/>
    </xf>
    <xf numFmtId="0" fontId="4" fillId="0" borderId="24" xfId="0" applyFont="1" applyBorder="1" applyAlignment="1">
      <alignment/>
    </xf>
    <xf numFmtId="0" fontId="0" fillId="0" borderId="12" xfId="0" applyFont="1" applyBorder="1" applyAlignment="1">
      <alignment horizontal="left" wrapText="1"/>
    </xf>
    <xf numFmtId="0" fontId="4" fillId="0" borderId="0" xfId="0" applyFont="1" applyFill="1" applyBorder="1" applyAlignment="1">
      <alignment/>
    </xf>
    <xf numFmtId="0" fontId="0" fillId="0" borderId="25" xfId="0" applyFont="1" applyBorder="1" applyAlignment="1">
      <alignment/>
    </xf>
    <xf numFmtId="0" fontId="0" fillId="0" borderId="27" xfId="0" applyFont="1" applyBorder="1" applyAlignment="1">
      <alignment/>
    </xf>
    <xf numFmtId="0" fontId="0" fillId="0" borderId="16" xfId="0" applyFont="1" applyFill="1" applyBorder="1" applyAlignment="1">
      <alignment/>
    </xf>
    <xf numFmtId="0" fontId="4" fillId="0" borderId="13" xfId="0" applyFont="1" applyFill="1" applyBorder="1" applyAlignment="1">
      <alignment/>
    </xf>
    <xf numFmtId="0" fontId="0" fillId="0" borderId="14" xfId="0" applyBorder="1" applyAlignment="1">
      <alignment/>
    </xf>
    <xf numFmtId="0" fontId="0" fillId="0" borderId="15" xfId="0" applyFont="1" applyBorder="1" applyAlignment="1">
      <alignment/>
    </xf>
    <xf numFmtId="0" fontId="0" fillId="0" borderId="11" xfId="0" applyFont="1" applyFill="1" applyBorder="1" applyAlignment="1">
      <alignment vertical="center"/>
    </xf>
    <xf numFmtId="0" fontId="0" fillId="0" borderId="3" xfId="0" applyFont="1" applyFill="1" applyBorder="1" applyAlignment="1">
      <alignment vertical="center"/>
    </xf>
    <xf numFmtId="3" fontId="114" fillId="0" borderId="0" xfId="0" applyNumberFormat="1" applyFont="1" applyFill="1" applyBorder="1" applyAlignment="1" applyProtection="1">
      <alignment vertical="center"/>
      <protection locked="0"/>
    </xf>
    <xf numFmtId="0" fontId="47" fillId="0" borderId="3" xfId="0" applyFont="1" applyBorder="1" applyAlignment="1">
      <alignment horizontal="right" vertical="center"/>
    </xf>
    <xf numFmtId="0" fontId="48" fillId="0" borderId="0" xfId="0" applyFont="1" applyBorder="1" applyAlignment="1">
      <alignment horizontal="right" vertical="center"/>
    </xf>
    <xf numFmtId="0" fontId="48" fillId="0" borderId="16" xfId="0" applyFont="1" applyBorder="1" applyAlignment="1">
      <alignment horizontal="right" vertical="center"/>
    </xf>
    <xf numFmtId="0" fontId="0" fillId="0" borderId="12" xfId="0" applyFont="1" applyBorder="1" applyAlignment="1">
      <alignment/>
    </xf>
    <xf numFmtId="0" fontId="46" fillId="0" borderId="3" xfId="0" applyFont="1" applyBorder="1" applyAlignment="1">
      <alignment vertical="center"/>
    </xf>
    <xf numFmtId="0" fontId="46" fillId="0" borderId="0" xfId="0" applyFont="1" applyAlignment="1">
      <alignment vertical="center"/>
    </xf>
    <xf numFmtId="3" fontId="0" fillId="0" borderId="0" xfId="0" applyNumberFormat="1" applyFont="1" applyBorder="1" applyAlignment="1">
      <alignment horizontal="right"/>
    </xf>
    <xf numFmtId="3" fontId="0" fillId="0" borderId="16" xfId="0" applyNumberFormat="1" applyFont="1" applyBorder="1" applyAlignment="1">
      <alignment horizontal="right"/>
    </xf>
    <xf numFmtId="3" fontId="0" fillId="0" borderId="11" xfId="0" applyNumberFormat="1" applyFont="1" applyBorder="1" applyAlignment="1">
      <alignment horizontal="right"/>
    </xf>
    <xf numFmtId="3" fontId="0" fillId="0" borderId="27" xfId="0" applyNumberFormat="1" applyFont="1" applyBorder="1" applyAlignment="1">
      <alignment horizontal="right"/>
    </xf>
    <xf numFmtId="3" fontId="115" fillId="0" borderId="12" xfId="0" applyNumberFormat="1" applyFont="1" applyFill="1" applyBorder="1" applyAlignment="1" applyProtection="1">
      <alignment vertical="center"/>
      <protection locked="0"/>
    </xf>
    <xf numFmtId="0" fontId="115" fillId="0" borderId="0" xfId="0" applyFont="1" applyAlignment="1">
      <alignment/>
    </xf>
    <xf numFmtId="0" fontId="116" fillId="0" borderId="0" xfId="0" applyFont="1" applyAlignment="1">
      <alignment/>
    </xf>
    <xf numFmtId="0" fontId="6" fillId="0" borderId="0" xfId="0" applyFont="1" applyAlignment="1">
      <alignment/>
    </xf>
    <xf numFmtId="0" fontId="11" fillId="0" borderId="22" xfId="0" applyFont="1" applyBorder="1" applyAlignment="1">
      <alignment horizontal="center" wrapText="1"/>
    </xf>
    <xf numFmtId="164" fontId="0" fillId="0" borderId="24" xfId="43" applyFont="1" applyBorder="1" applyAlignment="1">
      <alignment horizontal="right"/>
    </xf>
    <xf numFmtId="44" fontId="0" fillId="0" borderId="3" xfId="60" applyFont="1" applyBorder="1" applyAlignment="1">
      <alignment horizontal="right"/>
    </xf>
    <xf numFmtId="164" fontId="0" fillId="0" borderId="3" xfId="43" applyFont="1" applyBorder="1" applyAlignment="1">
      <alignment horizontal="right"/>
    </xf>
    <xf numFmtId="44" fontId="0" fillId="0" borderId="25" xfId="60" applyFont="1" applyBorder="1" applyAlignment="1">
      <alignment horizontal="right"/>
    </xf>
    <xf numFmtId="164" fontId="0" fillId="0" borderId="12" xfId="43" applyFont="1" applyBorder="1" applyAlignment="1">
      <alignment horizontal="right"/>
    </xf>
    <xf numFmtId="44" fontId="0" fillId="0" borderId="0" xfId="60" applyFont="1" applyBorder="1" applyAlignment="1">
      <alignment horizontal="right"/>
    </xf>
    <xf numFmtId="164" fontId="0" fillId="0" borderId="0" xfId="43" applyFont="1" applyBorder="1" applyAlignment="1">
      <alignment horizontal="right"/>
    </xf>
    <xf numFmtId="44" fontId="0" fillId="0" borderId="16" xfId="60" applyFont="1" applyBorder="1" applyAlignment="1">
      <alignment horizontal="right"/>
    </xf>
    <xf numFmtId="164" fontId="0" fillId="0" borderId="26" xfId="43" applyFont="1" applyBorder="1" applyAlignment="1">
      <alignment horizontal="right"/>
    </xf>
    <xf numFmtId="44" fontId="0" fillId="0" borderId="11" xfId="60" applyFont="1" applyBorder="1" applyAlignment="1">
      <alignment horizontal="right"/>
    </xf>
    <xf numFmtId="164" fontId="0" fillId="0" borderId="11" xfId="43" applyFont="1" applyBorder="1" applyAlignment="1">
      <alignment horizontal="right"/>
    </xf>
    <xf numFmtId="44" fontId="0" fillId="0" borderId="27" xfId="60" applyFont="1" applyBorder="1" applyAlignment="1">
      <alignment horizontal="right"/>
    </xf>
    <xf numFmtId="0" fontId="4" fillId="0" borderId="0" xfId="0" applyFont="1" applyFill="1" applyBorder="1" applyAlignment="1">
      <alignment horizontal="center" vertical="center"/>
    </xf>
    <xf numFmtId="2" fontId="11" fillId="0" borderId="0" xfId="0" applyNumberFormat="1" applyFont="1" applyFill="1" applyBorder="1" applyAlignment="1">
      <alignment vertical="center"/>
    </xf>
    <xf numFmtId="0" fontId="51" fillId="0" borderId="0" xfId="0" applyFont="1" applyFill="1" applyBorder="1" applyAlignment="1">
      <alignment horizontal="center" vertical="center"/>
    </xf>
    <xf numFmtId="3" fontId="0" fillId="0" borderId="0" xfId="0" applyNumberFormat="1" applyFont="1" applyAlignment="1">
      <alignment horizontal="right"/>
    </xf>
    <xf numFmtId="0" fontId="4" fillId="0" borderId="3" xfId="0" applyFont="1" applyBorder="1" applyAlignment="1">
      <alignment/>
    </xf>
    <xf numFmtId="0" fontId="4" fillId="0" borderId="14" xfId="0" applyFont="1" applyFill="1" applyBorder="1" applyAlignment="1">
      <alignment/>
    </xf>
    <xf numFmtId="0" fontId="2" fillId="0" borderId="3" xfId="0" applyFont="1" applyBorder="1" applyAlignment="1">
      <alignment vertical="center"/>
    </xf>
    <xf numFmtId="0" fontId="4" fillId="0" borderId="0" xfId="0" applyFont="1" applyBorder="1" applyAlignment="1">
      <alignment horizontal="left"/>
    </xf>
    <xf numFmtId="0" fontId="0" fillId="0" borderId="0" xfId="0" applyFont="1" applyBorder="1" applyAlignment="1">
      <alignment horizontal="left" wrapText="1"/>
    </xf>
    <xf numFmtId="0" fontId="46" fillId="0" borderId="0" xfId="0" applyFont="1" applyBorder="1" applyAlignment="1">
      <alignment vertical="center"/>
    </xf>
    <xf numFmtId="0" fontId="4" fillId="0" borderId="3" xfId="0" applyFont="1" applyBorder="1" applyAlignment="1">
      <alignment horizontal="left"/>
    </xf>
    <xf numFmtId="0" fontId="48" fillId="0" borderId="3" xfId="0" applyFont="1" applyBorder="1" applyAlignment="1">
      <alignment horizontal="right" vertical="center"/>
    </xf>
    <xf numFmtId="0" fontId="48" fillId="0" borderId="25" xfId="0" applyFont="1" applyBorder="1" applyAlignment="1">
      <alignment horizontal="right" vertical="center"/>
    </xf>
    <xf numFmtId="3" fontId="0" fillId="0" borderId="11" xfId="0" applyNumberFormat="1" applyFont="1" applyFill="1" applyBorder="1" applyAlignment="1">
      <alignment horizontal="right"/>
    </xf>
    <xf numFmtId="0" fontId="117" fillId="0" borderId="33" xfId="0" applyFont="1" applyBorder="1" applyAlignment="1">
      <alignment horizontal="left"/>
    </xf>
    <xf numFmtId="0" fontId="117" fillId="0" borderId="0" xfId="0" applyFont="1" applyBorder="1" applyAlignment="1">
      <alignment horizontal="right"/>
    </xf>
    <xf numFmtId="168" fontId="117" fillId="0" borderId="0" xfId="0" applyNumberFormat="1" applyFont="1" applyBorder="1" applyAlignment="1">
      <alignment horizontal="right"/>
    </xf>
    <xf numFmtId="168" fontId="117" fillId="0" borderId="34" xfId="0" applyNumberFormat="1" applyFont="1" applyBorder="1" applyAlignment="1">
      <alignment horizontal="right"/>
    </xf>
    <xf numFmtId="10" fontId="117" fillId="0" borderId="0" xfId="114" applyNumberFormat="1" applyFont="1" applyBorder="1" applyAlignment="1">
      <alignment horizontal="right"/>
    </xf>
    <xf numFmtId="2" fontId="117" fillId="0" borderId="0" xfId="0" applyNumberFormat="1" applyFont="1" applyBorder="1" applyAlignment="1">
      <alignment horizontal="right"/>
    </xf>
    <xf numFmtId="0" fontId="117" fillId="0" borderId="34" xfId="0" applyFont="1" applyBorder="1" applyAlignment="1">
      <alignment horizontal="right"/>
    </xf>
    <xf numFmtId="0" fontId="117" fillId="0" borderId="33" xfId="0" applyFont="1" applyBorder="1" applyAlignment="1">
      <alignment/>
    </xf>
    <xf numFmtId="0" fontId="53" fillId="0" borderId="0" xfId="0" applyFont="1" applyBorder="1" applyAlignment="1">
      <alignment horizontal="right"/>
    </xf>
    <xf numFmtId="2" fontId="53" fillId="0" borderId="0" xfId="0" applyNumberFormat="1" applyFont="1" applyBorder="1" applyAlignment="1">
      <alignment horizontal="right"/>
    </xf>
    <xf numFmtId="0" fontId="53" fillId="0" borderId="34" xfId="0" applyFont="1" applyBorder="1" applyAlignment="1">
      <alignment horizontal="right"/>
    </xf>
    <xf numFmtId="0" fontId="118" fillId="0" borderId="33" xfId="0" applyFont="1" applyBorder="1" applyAlignment="1">
      <alignment/>
    </xf>
    <xf numFmtId="0" fontId="119" fillId="0" borderId="0" xfId="0" applyFont="1" applyBorder="1" applyAlignment="1">
      <alignment horizontal="right"/>
    </xf>
    <xf numFmtId="0" fontId="53" fillId="0" borderId="0" xfId="0" applyFont="1" applyFill="1" applyBorder="1" applyAlignment="1">
      <alignment horizontal="right" vertical="center"/>
    </xf>
    <xf numFmtId="0" fontId="53" fillId="0" borderId="34" xfId="0" applyFont="1" applyFill="1" applyBorder="1" applyAlignment="1">
      <alignment horizontal="right" vertical="center"/>
    </xf>
    <xf numFmtId="0" fontId="118" fillId="0" borderId="35" xfId="0" applyFont="1" applyBorder="1" applyAlignment="1">
      <alignment/>
    </xf>
    <xf numFmtId="0" fontId="119" fillId="0" borderId="36" xfId="0" applyFont="1" applyBorder="1" applyAlignment="1">
      <alignment horizontal="right"/>
    </xf>
    <xf numFmtId="0" fontId="53" fillId="0" borderId="36" xfId="0" applyFont="1" applyFill="1" applyBorder="1" applyAlignment="1">
      <alignment horizontal="right" vertical="center"/>
    </xf>
    <xf numFmtId="0" fontId="53" fillId="0" borderId="37" xfId="0" applyFont="1" applyFill="1" applyBorder="1" applyAlignment="1">
      <alignment horizontal="right" vertical="center"/>
    </xf>
    <xf numFmtId="0" fontId="120" fillId="0" borderId="38" xfId="0" applyFont="1" applyBorder="1" applyAlignment="1">
      <alignment horizontal="left"/>
    </xf>
    <xf numFmtId="0" fontId="117" fillId="0" borderId="39" xfId="0" applyFont="1" applyBorder="1" applyAlignment="1">
      <alignment horizontal="right"/>
    </xf>
    <xf numFmtId="1" fontId="117" fillId="0" borderId="39" xfId="0" applyNumberFormat="1" applyFont="1" applyBorder="1" applyAlignment="1">
      <alignment horizontal="right"/>
    </xf>
    <xf numFmtId="1" fontId="117" fillId="0" borderId="40" xfId="0" applyNumberFormat="1" applyFont="1" applyBorder="1" applyAlignment="1">
      <alignment horizontal="right"/>
    </xf>
    <xf numFmtId="0" fontId="118" fillId="0" borderId="0" xfId="0" applyFont="1" applyFill="1" applyBorder="1" applyAlignment="1">
      <alignment vertical="center"/>
    </xf>
    <xf numFmtId="0" fontId="51" fillId="0" borderId="0" xfId="0" applyFont="1" applyFill="1" applyBorder="1" applyAlignment="1">
      <alignment vertical="center"/>
    </xf>
    <xf numFmtId="0" fontId="118" fillId="0" borderId="0" xfId="0" applyFont="1" applyFill="1" applyBorder="1" applyAlignment="1">
      <alignment horizontal="left" vertical="center"/>
    </xf>
    <xf numFmtId="2" fontId="0" fillId="0" borderId="22" xfId="0" applyNumberFormat="1"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51" fillId="0" borderId="22" xfId="0" applyFont="1" applyFill="1" applyBorder="1" applyAlignment="1">
      <alignment vertical="center"/>
    </xf>
    <xf numFmtId="0" fontId="0" fillId="0" borderId="22" xfId="0" applyFont="1" applyFill="1" applyBorder="1" applyAlignment="1">
      <alignment horizontal="right" vertical="center"/>
    </xf>
    <xf numFmtId="0" fontId="53" fillId="0" borderId="22" xfId="0" applyFont="1" applyBorder="1" applyAlignment="1">
      <alignment vertical="center"/>
    </xf>
    <xf numFmtId="2" fontId="53" fillId="0" borderId="22" xfId="0" applyNumberFormat="1" applyFont="1" applyFill="1" applyBorder="1" applyAlignment="1">
      <alignment vertical="center"/>
    </xf>
    <xf numFmtId="0" fontId="53" fillId="0" borderId="22" xfId="0" applyFont="1" applyBorder="1" applyAlignment="1">
      <alignment horizontal="right" vertical="center"/>
    </xf>
    <xf numFmtId="2" fontId="53" fillId="0" borderId="22" xfId="0" applyNumberFormat="1" applyFont="1" applyBorder="1" applyAlignment="1">
      <alignment vertical="center"/>
    </xf>
    <xf numFmtId="0" fontId="53" fillId="0" borderId="22" xfId="0" applyFont="1" applyBorder="1" applyAlignment="1">
      <alignment horizontal="center" vertical="center"/>
    </xf>
    <xf numFmtId="14" fontId="112" fillId="0" borderId="0" xfId="0" applyNumberFormat="1" applyFont="1" applyAlignment="1">
      <alignment horizontal="right"/>
    </xf>
    <xf numFmtId="0" fontId="15" fillId="0" borderId="22" xfId="104" applyFont="1" applyFill="1" applyBorder="1" applyAlignment="1">
      <alignment horizontal="center" vertical="center" wrapText="1"/>
      <protection/>
    </xf>
    <xf numFmtId="44" fontId="7" fillId="0" borderId="0" xfId="60" applyFont="1" applyAlignment="1">
      <alignment horizontal="right"/>
    </xf>
    <xf numFmtId="180" fontId="7" fillId="0" borderId="0" xfId="43" applyNumberFormat="1" applyFont="1" applyAlignment="1">
      <alignment horizontal="right"/>
    </xf>
    <xf numFmtId="174" fontId="7" fillId="0" borderId="0" xfId="60" applyNumberFormat="1" applyFont="1" applyAlignment="1">
      <alignment horizontal="right"/>
    </xf>
    <xf numFmtId="174" fontId="7" fillId="0" borderId="11" xfId="60" applyNumberFormat="1" applyFont="1" applyBorder="1" applyAlignment="1">
      <alignment horizontal="right"/>
    </xf>
    <xf numFmtId="44" fontId="7" fillId="0" borderId="0" xfId="60" applyFont="1" applyAlignment="1">
      <alignment horizontal="center"/>
    </xf>
    <xf numFmtId="0" fontId="0" fillId="0" borderId="0" xfId="0" applyFont="1" applyFill="1" applyBorder="1" applyAlignment="1">
      <alignment horizontal="right" vertical="center"/>
    </xf>
    <xf numFmtId="44" fontId="7" fillId="0" borderId="3" xfId="60" applyFont="1" applyBorder="1" applyAlignment="1">
      <alignment horizontal="right"/>
    </xf>
    <xf numFmtId="44" fontId="0" fillId="0" borderId="11" xfId="60" applyFont="1" applyBorder="1" applyAlignment="1">
      <alignment/>
    </xf>
    <xf numFmtId="44" fontId="0" fillId="0" borderId="14" xfId="60" applyFont="1" applyBorder="1" applyAlignment="1">
      <alignment/>
    </xf>
    <xf numFmtId="0" fontId="0" fillId="0" borderId="0" xfId="94" applyAlignment="1">
      <alignment/>
    </xf>
    <xf numFmtId="0" fontId="0" fillId="0" borderId="0" xfId="94" applyFont="1" applyAlignment="1">
      <alignment/>
    </xf>
    <xf numFmtId="0" fontId="0" fillId="0" borderId="0" xfId="94" applyFont="1" applyBorder="1" applyAlignment="1">
      <alignment/>
    </xf>
    <xf numFmtId="0" fontId="0" fillId="0" borderId="0" xfId="94" applyFont="1" applyFill="1" applyBorder="1" applyAlignment="1">
      <alignment/>
    </xf>
    <xf numFmtId="0" fontId="85" fillId="0" borderId="0" xfId="101">
      <alignment/>
      <protection/>
    </xf>
    <xf numFmtId="0" fontId="6" fillId="0" borderId="0" xfId="94" applyFont="1" applyFill="1" applyBorder="1" applyAlignment="1">
      <alignment/>
    </xf>
    <xf numFmtId="0" fontId="8" fillId="0" borderId="0" xfId="94" applyFont="1" applyFill="1" applyBorder="1" applyAlignment="1">
      <alignment/>
    </xf>
    <xf numFmtId="0" fontId="58" fillId="0" borderId="0" xfId="94" applyFont="1" applyFill="1" applyBorder="1" applyAlignment="1">
      <alignment/>
    </xf>
    <xf numFmtId="0" fontId="59" fillId="0" borderId="0" xfId="94" applyFont="1" applyFill="1" applyBorder="1" applyAlignment="1">
      <alignment/>
    </xf>
    <xf numFmtId="0" fontId="60" fillId="0" borderId="0" xfId="94" applyFont="1" applyFill="1" applyBorder="1" applyAlignment="1">
      <alignment horizontal="right"/>
    </xf>
    <xf numFmtId="0" fontId="0" fillId="0" borderId="41" xfId="94" applyFont="1" applyBorder="1" applyAlignment="1">
      <alignment/>
    </xf>
    <xf numFmtId="0" fontId="53" fillId="0" borderId="42" xfId="94" applyFont="1" applyFill="1" applyBorder="1" applyAlignment="1">
      <alignment wrapText="1"/>
    </xf>
    <xf numFmtId="165" fontId="53" fillId="0" borderId="42" xfId="94" applyNumberFormat="1" applyFont="1" applyFill="1" applyBorder="1" applyAlignment="1">
      <alignment horizontal="right" wrapText="1"/>
    </xf>
    <xf numFmtId="0" fontId="0" fillId="0" borderId="42" xfId="94" applyFont="1" applyBorder="1" applyAlignment="1">
      <alignment/>
    </xf>
    <xf numFmtId="0" fontId="0" fillId="0" borderId="43" xfId="94" applyFont="1" applyBorder="1" applyAlignment="1">
      <alignment/>
    </xf>
    <xf numFmtId="0" fontId="0" fillId="0" borderId="44" xfId="94" applyFont="1" applyBorder="1" applyAlignment="1">
      <alignment/>
    </xf>
    <xf numFmtId="0" fontId="61" fillId="0" borderId="0" xfId="94" applyFont="1" applyFill="1" applyBorder="1" applyAlignment="1">
      <alignment wrapText="1"/>
    </xf>
    <xf numFmtId="181" fontId="61" fillId="0" borderId="0" xfId="65" applyNumberFormat="1" applyFont="1" applyFill="1" applyBorder="1" applyAlignment="1">
      <alignment horizontal="center" wrapText="1"/>
    </xf>
    <xf numFmtId="0" fontId="53" fillId="0" borderId="0" xfId="94" applyFont="1" applyBorder="1" applyAlignment="1">
      <alignment/>
    </xf>
    <xf numFmtId="0" fontId="0" fillId="0" borderId="45" xfId="94" applyFont="1" applyBorder="1" applyAlignment="1">
      <alignment/>
    </xf>
    <xf numFmtId="167" fontId="61" fillId="0" borderId="0" xfId="110" applyNumberFormat="1" applyFont="1" applyFill="1" applyBorder="1" applyAlignment="1">
      <alignment horizontal="right" wrapText="1"/>
    </xf>
    <xf numFmtId="0" fontId="61" fillId="0" borderId="0" xfId="94" applyFont="1" applyFill="1" applyBorder="1" applyAlignment="1">
      <alignment horizontal="left" shrinkToFit="1"/>
    </xf>
    <xf numFmtId="0" fontId="61" fillId="0" borderId="0" xfId="94" applyFont="1" applyFill="1" applyBorder="1" applyAlignment="1">
      <alignment/>
    </xf>
    <xf numFmtId="0" fontId="53" fillId="0" borderId="0" xfId="94" applyFont="1" applyFill="1" applyBorder="1" applyAlignment="1">
      <alignment/>
    </xf>
    <xf numFmtId="0" fontId="61" fillId="0" borderId="46" xfId="94" applyFont="1" applyFill="1" applyBorder="1" applyAlignment="1">
      <alignment/>
    </xf>
    <xf numFmtId="0" fontId="61" fillId="0" borderId="46" xfId="94" applyFont="1" applyFill="1" applyBorder="1" applyAlignment="1">
      <alignment horizontal="center"/>
    </xf>
    <xf numFmtId="0" fontId="61" fillId="0" borderId="46" xfId="94" applyFont="1" applyBorder="1" applyAlignment="1">
      <alignment horizontal="right"/>
    </xf>
    <xf numFmtId="49" fontId="61" fillId="0" borderId="47" xfId="94" applyNumberFormat="1" applyFont="1" applyFill="1" applyBorder="1" applyAlignment="1">
      <alignment/>
    </xf>
    <xf numFmtId="0" fontId="61" fillId="0" borderId="47" xfId="94" applyFont="1" applyFill="1" applyBorder="1" applyAlignment="1">
      <alignment horizontal="center"/>
    </xf>
    <xf numFmtId="0" fontId="61" fillId="0" borderId="47" xfId="94" applyFont="1" applyBorder="1" applyAlignment="1">
      <alignment horizontal="right"/>
    </xf>
    <xf numFmtId="3" fontId="53" fillId="0" borderId="0" xfId="94" applyNumberFormat="1" applyFont="1" applyFill="1" applyBorder="1" applyAlignment="1">
      <alignment horizontal="center" wrapText="1"/>
    </xf>
    <xf numFmtId="0" fontId="53" fillId="0" borderId="0" xfId="94" applyFont="1" applyBorder="1" applyAlignment="1">
      <alignment horizontal="right" indent="2"/>
    </xf>
    <xf numFmtId="0" fontId="61" fillId="0" borderId="0" xfId="94" applyFont="1" applyFill="1" applyBorder="1" applyAlignment="1">
      <alignment horizontal="right" wrapText="1" indent="1"/>
    </xf>
    <xf numFmtId="0" fontId="53" fillId="0" borderId="0" xfId="94" applyFont="1" applyFill="1" applyBorder="1" applyAlignment="1">
      <alignment wrapText="1"/>
    </xf>
    <xf numFmtId="182" fontId="53" fillId="0" borderId="0" xfId="55" applyNumberFormat="1" applyFont="1" applyFill="1" applyBorder="1" applyAlignment="1">
      <alignment horizontal="right" wrapText="1" indent="1"/>
    </xf>
    <xf numFmtId="0" fontId="53" fillId="0" borderId="0" xfId="94" applyFont="1" applyFill="1" applyBorder="1" applyAlignment="1">
      <alignment horizontal="right" indent="1"/>
    </xf>
    <xf numFmtId="0" fontId="53" fillId="0" borderId="0" xfId="94" applyFont="1" applyBorder="1" applyAlignment="1">
      <alignment horizontal="center"/>
    </xf>
    <xf numFmtId="9" fontId="53" fillId="0" borderId="0" xfId="94" applyNumberFormat="1" applyFont="1" applyFill="1" applyBorder="1" applyAlignment="1">
      <alignment horizontal="right" wrapText="1" indent="1"/>
    </xf>
    <xf numFmtId="9" fontId="0" fillId="0" borderId="45" xfId="94" applyNumberFormat="1" applyFont="1" applyBorder="1" applyAlignment="1">
      <alignment/>
    </xf>
    <xf numFmtId="0" fontId="53" fillId="0" borderId="46" xfId="94" applyFont="1" applyFill="1" applyBorder="1" applyAlignment="1">
      <alignment wrapText="1"/>
    </xf>
    <xf numFmtId="0" fontId="53" fillId="0" borderId="46" xfId="94" applyFont="1" applyBorder="1" applyAlignment="1">
      <alignment horizontal="center"/>
    </xf>
    <xf numFmtId="0" fontId="53" fillId="0" borderId="46" xfId="94" applyFont="1" applyBorder="1" applyAlignment="1">
      <alignment horizontal="right" indent="2"/>
    </xf>
    <xf numFmtId="9" fontId="53" fillId="0" borderId="46" xfId="94" applyNumberFormat="1" applyFont="1" applyFill="1" applyBorder="1" applyAlignment="1">
      <alignment horizontal="right" wrapText="1" indent="1"/>
    </xf>
    <xf numFmtId="166" fontId="0" fillId="0" borderId="0" xfId="94" applyNumberFormat="1" applyAlignment="1">
      <alignment/>
    </xf>
    <xf numFmtId="0" fontId="57" fillId="0" borderId="44" xfId="94" applyFont="1" applyBorder="1" applyAlignment="1">
      <alignment/>
    </xf>
    <xf numFmtId="0" fontId="53" fillId="0" borderId="47" xfId="94" applyFont="1" applyBorder="1" applyAlignment="1">
      <alignment/>
    </xf>
    <xf numFmtId="0" fontId="64" fillId="0" borderId="47" xfId="94" applyFont="1" applyBorder="1" applyAlignment="1">
      <alignment horizontal="center"/>
    </xf>
    <xf numFmtId="0" fontId="64" fillId="0" borderId="47" xfId="94" applyFont="1" applyFill="1" applyBorder="1" applyAlignment="1">
      <alignment horizontal="right" indent="2"/>
    </xf>
    <xf numFmtId="0" fontId="64" fillId="0" borderId="47" xfId="94" applyFont="1" applyFill="1" applyBorder="1" applyAlignment="1">
      <alignment horizontal="right" indent="1"/>
    </xf>
    <xf numFmtId="9" fontId="64" fillId="0" borderId="47" xfId="110" applyFont="1" applyFill="1" applyBorder="1" applyAlignment="1">
      <alignment horizontal="right" indent="1"/>
    </xf>
    <xf numFmtId="165" fontId="0" fillId="0" borderId="0" xfId="94" applyNumberFormat="1" applyAlignment="1">
      <alignment/>
    </xf>
    <xf numFmtId="0" fontId="61" fillId="0" borderId="47" xfId="94" applyFont="1" applyFill="1" applyBorder="1" applyAlignment="1">
      <alignment/>
    </xf>
    <xf numFmtId="165" fontId="53" fillId="0" borderId="0" xfId="94" applyNumberFormat="1" applyFont="1" applyFill="1" applyBorder="1" applyAlignment="1">
      <alignment horizontal="center" vertical="center"/>
    </xf>
    <xf numFmtId="0" fontId="53" fillId="0" borderId="0" xfId="94" applyFont="1" applyBorder="1" applyAlignment="1">
      <alignment horizontal="left" vertical="center" indent="2"/>
    </xf>
    <xf numFmtId="165" fontId="53" fillId="0" borderId="0" xfId="94" applyNumberFormat="1" applyFont="1" applyFill="1" applyBorder="1" applyAlignment="1">
      <alignment horizontal="right" vertical="center" indent="1"/>
    </xf>
    <xf numFmtId="166" fontId="0" fillId="0" borderId="45" xfId="94" applyNumberFormat="1" applyFont="1" applyBorder="1" applyAlignment="1">
      <alignment/>
    </xf>
    <xf numFmtId="0" fontId="53" fillId="0" borderId="46" xfId="94" applyFont="1" applyBorder="1" applyAlignment="1">
      <alignment/>
    </xf>
    <xf numFmtId="9" fontId="53" fillId="0" borderId="46" xfId="110" applyNumberFormat="1" applyFont="1" applyBorder="1" applyAlignment="1">
      <alignment horizontal="center"/>
    </xf>
    <xf numFmtId="0" fontId="64" fillId="0" borderId="46" xfId="94" applyFont="1" applyFill="1" applyBorder="1" applyAlignment="1">
      <alignment horizontal="right" indent="2"/>
    </xf>
    <xf numFmtId="44" fontId="1" fillId="0" borderId="0" xfId="63" applyFont="1" applyAlignment="1">
      <alignment/>
    </xf>
    <xf numFmtId="0" fontId="53" fillId="0" borderId="47" xfId="94" applyFont="1" applyFill="1" applyBorder="1" applyAlignment="1">
      <alignment wrapText="1"/>
    </xf>
    <xf numFmtId="0" fontId="64" fillId="0" borderId="47" xfId="94" applyFont="1" applyBorder="1" applyAlignment="1">
      <alignment horizontal="right" indent="2"/>
    </xf>
    <xf numFmtId="9" fontId="64" fillId="0" borderId="47" xfId="94" applyNumberFormat="1" applyFont="1" applyFill="1" applyBorder="1" applyAlignment="1">
      <alignment horizontal="right" indent="1"/>
    </xf>
    <xf numFmtId="0" fontId="64" fillId="0" borderId="46" xfId="94" applyFont="1" applyBorder="1" applyAlignment="1">
      <alignment horizontal="center"/>
    </xf>
    <xf numFmtId="0" fontId="64" fillId="0" borderId="46" xfId="94" applyFont="1" applyBorder="1" applyAlignment="1">
      <alignment horizontal="right" indent="2"/>
    </xf>
    <xf numFmtId="0" fontId="64" fillId="0" borderId="46" xfId="94" applyFont="1" applyFill="1" applyBorder="1" applyAlignment="1">
      <alignment horizontal="right" indent="1"/>
    </xf>
    <xf numFmtId="0" fontId="64" fillId="0" borderId="0" xfId="94" applyFont="1" applyBorder="1" applyAlignment="1">
      <alignment horizontal="center"/>
    </xf>
    <xf numFmtId="0" fontId="64" fillId="0" borderId="0" xfId="94" applyFont="1" applyBorder="1" applyAlignment="1">
      <alignment horizontal="right" indent="2"/>
    </xf>
    <xf numFmtId="0" fontId="64" fillId="0" borderId="0" xfId="94" applyFont="1" applyFill="1" applyBorder="1" applyAlignment="1">
      <alignment horizontal="right" indent="1"/>
    </xf>
    <xf numFmtId="39" fontId="53" fillId="0" borderId="46" xfId="63" applyNumberFormat="1" applyFont="1" applyBorder="1" applyAlignment="1">
      <alignment horizontal="center"/>
    </xf>
    <xf numFmtId="44" fontId="53" fillId="0" borderId="46" xfId="63" applyFont="1" applyBorder="1" applyAlignment="1">
      <alignment horizontal="right" indent="2"/>
    </xf>
    <xf numFmtId="39" fontId="53" fillId="0" borderId="46" xfId="63" applyNumberFormat="1" applyFont="1" applyFill="1" applyBorder="1" applyAlignment="1">
      <alignment horizontal="right" wrapText="1" indent="1"/>
    </xf>
    <xf numFmtId="39" fontId="0" fillId="0" borderId="45" xfId="94" applyNumberFormat="1" applyFont="1" applyBorder="1" applyAlignment="1">
      <alignment/>
    </xf>
    <xf numFmtId="166" fontId="0" fillId="0" borderId="0" xfId="94" applyNumberFormat="1" applyFont="1" applyAlignment="1">
      <alignment/>
    </xf>
    <xf numFmtId="165" fontId="53" fillId="0" borderId="0" xfId="94" applyNumberFormat="1" applyFont="1" applyFill="1" applyBorder="1" applyAlignment="1">
      <alignment horizontal="center" wrapText="1"/>
    </xf>
    <xf numFmtId="183" fontId="61" fillId="0" borderId="0" xfId="94" applyNumberFormat="1" applyFont="1" applyFill="1" applyBorder="1" applyAlignment="1">
      <alignment horizontal="center" wrapText="1"/>
    </xf>
    <xf numFmtId="0" fontId="53" fillId="0" borderId="48" xfId="94" applyFont="1" applyFill="1" applyBorder="1" applyAlignment="1">
      <alignment wrapText="1"/>
    </xf>
    <xf numFmtId="3" fontId="53" fillId="0" borderId="0" xfId="94" applyNumberFormat="1" applyFont="1" applyFill="1" applyBorder="1" applyAlignment="1">
      <alignment horizontal="center" shrinkToFit="1"/>
    </xf>
    <xf numFmtId="0" fontId="53" fillId="0" borderId="48" xfId="94" applyFont="1" applyBorder="1" applyAlignment="1">
      <alignment/>
    </xf>
    <xf numFmtId="165" fontId="53" fillId="0" borderId="49" xfId="94" applyNumberFormat="1" applyFont="1" applyFill="1" applyBorder="1" applyAlignment="1">
      <alignment horizontal="right" wrapText="1"/>
    </xf>
    <xf numFmtId="1" fontId="30" fillId="0" borderId="0" xfId="97" applyNumberFormat="1">
      <alignment/>
      <protection/>
    </xf>
    <xf numFmtId="1" fontId="0" fillId="0" borderId="0" xfId="94" applyNumberFormat="1" applyAlignment="1">
      <alignment/>
    </xf>
    <xf numFmtId="0" fontId="2" fillId="0" borderId="0" xfId="94" applyFont="1" applyFill="1" applyBorder="1" applyAlignment="1">
      <alignment/>
    </xf>
    <xf numFmtId="0" fontId="53" fillId="0" borderId="0" xfId="94" applyFont="1" applyBorder="1" applyAlignment="1">
      <alignment/>
    </xf>
    <xf numFmtId="9" fontId="53" fillId="0" borderId="0" xfId="94" applyNumberFormat="1" applyFont="1" applyFill="1" applyBorder="1" applyAlignment="1">
      <alignment wrapText="1"/>
    </xf>
    <xf numFmtId="0" fontId="63" fillId="0" borderId="0" xfId="94" applyFont="1" applyBorder="1" applyAlignment="1">
      <alignment horizontal="left"/>
    </xf>
    <xf numFmtId="0" fontId="0" fillId="0" borderId="0" xfId="94" applyBorder="1" applyAlignment="1">
      <alignment/>
    </xf>
    <xf numFmtId="0" fontId="63" fillId="0" borderId="0" xfId="94" applyFont="1" applyBorder="1" applyAlignment="1">
      <alignment/>
    </xf>
    <xf numFmtId="0" fontId="0" fillId="0" borderId="50" xfId="94" applyFont="1" applyBorder="1" applyAlignment="1">
      <alignment/>
    </xf>
    <xf numFmtId="0" fontId="63" fillId="0" borderId="51" xfId="94" applyFont="1" applyBorder="1" applyAlignment="1">
      <alignment/>
    </xf>
    <xf numFmtId="0" fontId="0" fillId="0" borderId="51" xfId="94" applyFont="1" applyBorder="1" applyAlignment="1">
      <alignment/>
    </xf>
    <xf numFmtId="0" fontId="0" fillId="0" borderId="52" xfId="94" applyFont="1" applyBorder="1" applyAlignment="1">
      <alignment/>
    </xf>
    <xf numFmtId="44" fontId="61" fillId="0" borderId="0" xfId="60" applyFont="1" applyFill="1" applyBorder="1" applyAlignment="1">
      <alignment horizontal="center" wrapText="1"/>
    </xf>
    <xf numFmtId="0" fontId="46" fillId="0" borderId="0" xfId="104" applyFont="1">
      <alignment/>
      <protection/>
    </xf>
    <xf numFmtId="0" fontId="114" fillId="0" borderId="0" xfId="92" applyFont="1" applyFill="1">
      <alignment/>
      <protection/>
    </xf>
    <xf numFmtId="0" fontId="4" fillId="0" borderId="0" xfId="92" applyFont="1" applyFill="1" applyAlignment="1">
      <alignment horizontal="right"/>
      <protection/>
    </xf>
    <xf numFmtId="0" fontId="0" fillId="0" borderId="0" xfId="92" applyFont="1" applyAlignment="1">
      <alignment horizontal="right"/>
      <protection/>
    </xf>
    <xf numFmtId="0" fontId="0" fillId="0" borderId="0" xfId="92" applyFont="1" applyFill="1" applyAlignment="1">
      <alignment horizontal="right"/>
      <protection/>
    </xf>
    <xf numFmtId="0" fontId="4" fillId="0" borderId="0" xfId="92" applyFont="1" applyFill="1" applyAlignment="1">
      <alignment horizontal="left"/>
      <protection/>
    </xf>
    <xf numFmtId="174" fontId="4" fillId="0" borderId="22" xfId="62" applyNumberFormat="1" applyFont="1" applyFill="1" applyBorder="1" applyAlignment="1">
      <alignment/>
    </xf>
    <xf numFmtId="0" fontId="0" fillId="0" borderId="0" xfId="102" applyNumberFormat="1" applyFont="1" applyBorder="1" applyAlignment="1">
      <alignment horizontal="left" wrapText="1"/>
      <protection/>
    </xf>
    <xf numFmtId="0" fontId="8" fillId="0" borderId="0" xfId="0" applyFont="1" applyAlignment="1">
      <alignment horizontal="center" vertical="center" wrapText="1"/>
    </xf>
    <xf numFmtId="0" fontId="0" fillId="0" borderId="0" xfId="0" applyFont="1" applyBorder="1" applyAlignment="1">
      <alignment horizontal="left" wrapText="1"/>
    </xf>
    <xf numFmtId="0" fontId="0" fillId="0" borderId="0" xfId="0" applyFont="1" applyBorder="1" applyAlignment="1">
      <alignment horizontal="left"/>
    </xf>
    <xf numFmtId="0" fontId="0" fillId="0" borderId="0" xfId="103" applyNumberFormat="1" applyFont="1" applyBorder="1" applyAlignment="1">
      <alignment horizontal="left" wrapText="1"/>
      <protection/>
    </xf>
    <xf numFmtId="0" fontId="4" fillId="0" borderId="53" xfId="92" applyFont="1" applyBorder="1" applyAlignment="1">
      <alignment horizontal="left" vertical="center" wrapText="1"/>
      <protection/>
    </xf>
    <xf numFmtId="0" fontId="0" fillId="0" borderId="0" xfId="0" applyAlignment="1">
      <alignment horizontal="left" wrapText="1"/>
    </xf>
    <xf numFmtId="0" fontId="6" fillId="0" borderId="21" xfId="0" applyFont="1" applyBorder="1" applyAlignment="1">
      <alignment horizontal="left" vertical="center"/>
    </xf>
    <xf numFmtId="0" fontId="6" fillId="0" borderId="54" xfId="0" applyFont="1" applyBorder="1" applyAlignment="1">
      <alignment horizontal="left" vertical="center"/>
    </xf>
    <xf numFmtId="0" fontId="104" fillId="0" borderId="0" xfId="0" applyFont="1" applyAlignment="1">
      <alignment horizontal="left" vertical="center" wrapText="1"/>
    </xf>
    <xf numFmtId="0" fontId="6" fillId="0" borderId="24"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4" fillId="0" borderId="0" xfId="0" applyFont="1" applyFill="1" applyAlignment="1">
      <alignment horizontal="left" vertical="center" wrapText="1"/>
    </xf>
    <xf numFmtId="0" fontId="4" fillId="0" borderId="0" xfId="92" applyFont="1" applyFill="1" applyAlignment="1">
      <alignment horizontal="left" vertical="center" wrapText="1"/>
      <protection/>
    </xf>
    <xf numFmtId="0" fontId="4" fillId="0" borderId="0" xfId="92" applyFont="1" applyFill="1" applyAlignment="1">
      <alignment horizontal="center" vertical="center" wrapText="1"/>
      <protection/>
    </xf>
    <xf numFmtId="0" fontId="0" fillId="0" borderId="0" xfId="0" applyFont="1" applyFill="1" applyBorder="1" applyAlignment="1">
      <alignment horizontal="center" vertical="center"/>
    </xf>
    <xf numFmtId="0" fontId="4" fillId="0" borderId="0" xfId="0" applyFont="1" applyFill="1" applyAlignment="1">
      <alignment horizontal="center" vertical="center" wrapText="1"/>
    </xf>
    <xf numFmtId="0" fontId="8" fillId="0" borderId="0" xfId="94" applyFont="1" applyFill="1" applyBorder="1" applyAlignment="1">
      <alignment horizontal="right"/>
    </xf>
    <xf numFmtId="0" fontId="85" fillId="0" borderId="0" xfId="101" applyAlignment="1">
      <alignment horizontal="right"/>
      <protection/>
    </xf>
    <xf numFmtId="0" fontId="6" fillId="0" borderId="0" xfId="94" applyFont="1" applyFill="1" applyBorder="1" applyAlignment="1">
      <alignment horizontal="center" vertical="center"/>
    </xf>
    <xf numFmtId="0" fontId="60" fillId="0" borderId="0" xfId="94" applyFont="1" applyBorder="1" applyAlignment="1">
      <alignment horizontal="center" vertical="center"/>
    </xf>
    <xf numFmtId="0" fontId="61" fillId="0" borderId="46" xfId="94" applyFont="1" applyFill="1" applyBorder="1" applyAlignment="1">
      <alignment horizontal="center" wrapText="1"/>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 xfId="39"/>
    <cellStyle name="Bad" xfId="40"/>
    <cellStyle name="Calculation" xfId="41"/>
    <cellStyle name="Check Cell" xfId="42"/>
    <cellStyle name="Comma" xfId="43"/>
    <cellStyle name="Comma  - Style1" xfId="44"/>
    <cellStyle name="Comma  - Style2" xfId="45"/>
    <cellStyle name="Comma  - Style3" xfId="46"/>
    <cellStyle name="Comma  - Style4" xfId="47"/>
    <cellStyle name="Comma  - Style5" xfId="48"/>
    <cellStyle name="Comma  - Style6" xfId="49"/>
    <cellStyle name="Comma  - Style7" xfId="50"/>
    <cellStyle name="Comma  - Style8" xfId="51"/>
    <cellStyle name="Comma [0]" xfId="52"/>
    <cellStyle name="Comma 2" xfId="53"/>
    <cellStyle name="Comma 2 2" xfId="54"/>
    <cellStyle name="Comma 2 3" xfId="55"/>
    <cellStyle name="Comma 3" xfId="56"/>
    <cellStyle name="Comma 4" xfId="57"/>
    <cellStyle name="Comma 5" xfId="58"/>
    <cellStyle name="Comma0" xfId="59"/>
    <cellStyle name="Currency" xfId="60"/>
    <cellStyle name="Currency [0]" xfId="61"/>
    <cellStyle name="Currency 2" xfId="62"/>
    <cellStyle name="Currency 2 2" xfId="63"/>
    <cellStyle name="Currency 3" xfId="64"/>
    <cellStyle name="Currency 4" xfId="65"/>
    <cellStyle name="Currency0" xfId="66"/>
    <cellStyle name="Data" xfId="67"/>
    <cellStyle name="Date" xfId="68"/>
    <cellStyle name="Explanatory Text" xfId="69"/>
    <cellStyle name="F2" xfId="70"/>
    <cellStyle name="F3" xfId="71"/>
    <cellStyle name="F4" xfId="72"/>
    <cellStyle name="F5" xfId="73"/>
    <cellStyle name="F6" xfId="74"/>
    <cellStyle name="F7" xfId="75"/>
    <cellStyle name="F8" xfId="76"/>
    <cellStyle name="Fixed" xfId="77"/>
    <cellStyle name="Good" xfId="78"/>
    <cellStyle name="Heading" xfId="79"/>
    <cellStyle name="Heading 1" xfId="80"/>
    <cellStyle name="Heading 2" xfId="81"/>
    <cellStyle name="Heading 3" xfId="82"/>
    <cellStyle name="Heading 4" xfId="83"/>
    <cellStyle name="Hyperlink" xfId="84"/>
    <cellStyle name="Hyperlink 2" xfId="85"/>
    <cellStyle name="Hyperlink 3" xfId="86"/>
    <cellStyle name="Input" xfId="87"/>
    <cellStyle name="Linked Cell" xfId="88"/>
    <cellStyle name="Microsoft Excel found an error in the formula you entered. Do you want to accept the correction proposed below?&#10;&#10;|&#10;&#10;• To accept the correction, click Yes.&#10;• To close this message and correct the formula yourself, click No." xfId="89"/>
    <cellStyle name="Neutral" xfId="90"/>
    <cellStyle name="Normal - Style1" xfId="91"/>
    <cellStyle name="Normal 2" xfId="92"/>
    <cellStyle name="Normal 2 2" xfId="93"/>
    <cellStyle name="Normal 2 2 2" xfId="94"/>
    <cellStyle name="Normal 3" xfId="95"/>
    <cellStyle name="Normal 3 2" xfId="96"/>
    <cellStyle name="Normal 3 3" xfId="97"/>
    <cellStyle name="Normal 4" xfId="98"/>
    <cellStyle name="Normal 5" xfId="99"/>
    <cellStyle name="Normal 6" xfId="100"/>
    <cellStyle name="Normal 7" xfId="101"/>
    <cellStyle name="Normal_ConsolidatedAg_IM_Clean" xfId="102"/>
    <cellStyle name="Normal_FeederRoadAnalysis_IM_Clean - v4" xfId="103"/>
    <cellStyle name="Normal_Mongolia Health ERR.IM Cleaned - v15" xfId="104"/>
    <cellStyle name="Note" xfId="105"/>
    <cellStyle name="Output" xfId="106"/>
    <cellStyle name="Percent" xfId="107"/>
    <cellStyle name="Percent 2" xfId="108"/>
    <cellStyle name="Percent 2 2" xfId="109"/>
    <cellStyle name="Percent 2 3" xfId="110"/>
    <cellStyle name="Percent 3" xfId="111"/>
    <cellStyle name="Percent 4" xfId="112"/>
    <cellStyle name="Percent 5" xfId="113"/>
    <cellStyle name="Porcentual 2" xfId="114"/>
    <cellStyle name="Stub" xfId="115"/>
    <cellStyle name="Title" xfId="116"/>
    <cellStyle name="Top" xfId="117"/>
    <cellStyle name="Total" xfId="118"/>
    <cellStyle name="Totals" xfId="119"/>
    <cellStyle name="Warning Text" xfId="120"/>
  </cellStyles>
  <dxfs count="16">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Rural Electrification Project</a:t>
            </a:r>
          </a:p>
        </c:rich>
      </c:tx>
      <c:layout>
        <c:manualLayout>
          <c:xMode val="factor"/>
          <c:yMode val="factor"/>
          <c:x val="0.012"/>
          <c:y val="0"/>
        </c:manualLayout>
      </c:layout>
      <c:spPr>
        <a:noFill/>
        <a:ln w="3175">
          <a:noFill/>
        </a:ln>
      </c:spPr>
    </c:title>
    <c:plotArea>
      <c:layout>
        <c:manualLayout>
          <c:xMode val="edge"/>
          <c:yMode val="edge"/>
          <c:x val="0.03225"/>
          <c:y val="0.14525"/>
          <c:w val="0.9385"/>
          <c:h val="0.764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'ERR Electrification'!$D$37:$AB$37</c:f>
              <c:numCache>
                <c:ptCount val="25"/>
                <c:pt idx="0">
                  <c:v>-527.7375244159894</c:v>
                </c:pt>
                <c:pt idx="1">
                  <c:v>-3376.331276184647</c:v>
                </c:pt>
                <c:pt idx="2">
                  <c:v>-13880.922094174977</c:v>
                </c:pt>
                <c:pt idx="3">
                  <c:v>-3723.742228838801</c:v>
                </c:pt>
                <c:pt idx="4">
                  <c:v>-2974.687649188031</c:v>
                </c:pt>
                <c:pt idx="5">
                  <c:v>7158.960289881427</c:v>
                </c:pt>
                <c:pt idx="6">
                  <c:v>7158.960289881427</c:v>
                </c:pt>
                <c:pt idx="7">
                  <c:v>7158.960289881427</c:v>
                </c:pt>
                <c:pt idx="8">
                  <c:v>7158.960289881427</c:v>
                </c:pt>
                <c:pt idx="9">
                  <c:v>7158.960289881427</c:v>
                </c:pt>
                <c:pt idx="10">
                  <c:v>7158.960289881427</c:v>
                </c:pt>
                <c:pt idx="11">
                  <c:v>7158.960289881427</c:v>
                </c:pt>
                <c:pt idx="12">
                  <c:v>7158.960289881427</c:v>
                </c:pt>
                <c:pt idx="13">
                  <c:v>7158.960289881427</c:v>
                </c:pt>
                <c:pt idx="14">
                  <c:v>7158.960289881427</c:v>
                </c:pt>
                <c:pt idx="15">
                  <c:v>7158.960289881427</c:v>
                </c:pt>
                <c:pt idx="16">
                  <c:v>7158.960289881427</c:v>
                </c:pt>
                <c:pt idx="17">
                  <c:v>7158.960289881427</c:v>
                </c:pt>
                <c:pt idx="18">
                  <c:v>7158.960289881427</c:v>
                </c:pt>
                <c:pt idx="19">
                  <c:v>7158.960289881427</c:v>
                </c:pt>
                <c:pt idx="20">
                  <c:v>7158.960289881427</c:v>
                </c:pt>
                <c:pt idx="21">
                  <c:v>7158.960289881427</c:v>
                </c:pt>
                <c:pt idx="22">
                  <c:v>7158.960289881427</c:v>
                </c:pt>
                <c:pt idx="23">
                  <c:v>7158.960289881427</c:v>
                </c:pt>
                <c:pt idx="24">
                  <c:v>7158.960289881427</c:v>
                </c:pt>
              </c:numCache>
            </c:numRef>
          </c:val>
        </c:ser>
        <c:gapWidth val="0"/>
        <c:axId val="19450529"/>
        <c:axId val="13551826"/>
      </c:barChart>
      <c:catAx>
        <c:axId val="194505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72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551826"/>
        <c:crosses val="autoZero"/>
        <c:auto val="1"/>
        <c:lblOffset val="100"/>
        <c:tickLblSkip val="1"/>
        <c:noMultiLvlLbl val="0"/>
      </c:catAx>
      <c:valAx>
        <c:axId val="135518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Thousands US$</a:t>
                </a:r>
              </a:p>
            </c:rich>
          </c:tx>
          <c:layout>
            <c:manualLayout>
              <c:xMode val="factor"/>
              <c:yMode val="factor"/>
              <c:x val="-0.01575"/>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50529"/>
        <c:crossesAt val="1"/>
        <c:crossBetween val="between"/>
        <c:dispUnits/>
      </c:valAx>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smooth val="0"/>
        </c:ser>
        <c:marker val="1"/>
        <c:axId val="60059699"/>
        <c:axId val="57244100"/>
      </c:lineChart>
      <c:catAx>
        <c:axId val="60059699"/>
        <c:scaling>
          <c:orientation val="minMax"/>
        </c:scaling>
        <c:axPos val="b"/>
        <c:delete val="0"/>
        <c:numFmt formatCode="General" sourceLinked="1"/>
        <c:majorTickMark val="out"/>
        <c:minorTickMark val="none"/>
        <c:tickLblPos val="nextTo"/>
        <c:spPr>
          <a:ln w="3175">
            <a:solidFill>
              <a:srgbClr val="000000"/>
            </a:solidFill>
          </a:ln>
        </c:spPr>
        <c:crossAx val="57244100"/>
        <c:crosses val="autoZero"/>
        <c:auto val="1"/>
        <c:lblOffset val="100"/>
        <c:tickLblSkip val="1"/>
        <c:noMultiLvlLbl val="0"/>
      </c:catAx>
      <c:valAx>
        <c:axId val="572441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596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smooth val="0"/>
        </c:ser>
        <c:marker val="1"/>
        <c:axId val="53497477"/>
        <c:axId val="4130678"/>
      </c:lineChart>
      <c:catAx>
        <c:axId val="53497477"/>
        <c:scaling>
          <c:orientation val="minMax"/>
        </c:scaling>
        <c:axPos val="b"/>
        <c:delete val="0"/>
        <c:numFmt formatCode="General" sourceLinked="1"/>
        <c:majorTickMark val="out"/>
        <c:minorTickMark val="none"/>
        <c:tickLblPos val="nextTo"/>
        <c:spPr>
          <a:ln w="3175">
            <a:solidFill>
              <a:srgbClr val="000000"/>
            </a:solidFill>
          </a:ln>
        </c:spPr>
        <c:crossAx val="4130678"/>
        <c:crosses val="autoZero"/>
        <c:auto val="1"/>
        <c:lblOffset val="100"/>
        <c:tickLblSkip val="1"/>
        <c:noMultiLvlLbl val="0"/>
      </c:catAx>
      <c:valAx>
        <c:axId val="41306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747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152400</xdr:colOff>
      <xdr:row>6</xdr:row>
      <xdr:rowOff>57150</xdr:rowOff>
    </xdr:to>
    <xdr:pic>
      <xdr:nvPicPr>
        <xdr:cNvPr id="1" name="Picture 1"/>
        <xdr:cNvPicPr preferRelativeResize="1">
          <a:picLocks noChangeAspect="1"/>
        </xdr:cNvPicPr>
      </xdr:nvPicPr>
      <xdr:blipFill>
        <a:blip r:embed="rId1"/>
        <a:stretch>
          <a:fillRect/>
        </a:stretch>
      </xdr:blipFill>
      <xdr:spPr>
        <a:xfrm>
          <a:off x="457200" y="133350"/>
          <a:ext cx="2657475"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xdr:row>
      <xdr:rowOff>171450</xdr:rowOff>
    </xdr:from>
    <xdr:to>
      <xdr:col>2</xdr:col>
      <xdr:colOff>2352675</xdr:colOff>
      <xdr:row>5</xdr:row>
      <xdr:rowOff>19050</xdr:rowOff>
    </xdr:to>
    <xdr:pic>
      <xdr:nvPicPr>
        <xdr:cNvPr id="1" name="Picture 1"/>
        <xdr:cNvPicPr preferRelativeResize="1">
          <a:picLocks noChangeAspect="1"/>
        </xdr:cNvPicPr>
      </xdr:nvPicPr>
      <xdr:blipFill>
        <a:blip r:embed="rId1"/>
        <a:stretch>
          <a:fillRect/>
        </a:stretch>
      </xdr:blipFill>
      <xdr:spPr>
        <a:xfrm>
          <a:off x="285750" y="361950"/>
          <a:ext cx="27146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19050</xdr:rowOff>
    </xdr:from>
    <xdr:to>
      <xdr:col>1</xdr:col>
      <xdr:colOff>2190750</xdr:colOff>
      <xdr:row>26</xdr:row>
      <xdr:rowOff>9525</xdr:rowOff>
    </xdr:to>
    <xdr:pic>
      <xdr:nvPicPr>
        <xdr:cNvPr id="1" name="Picture 1" descr="MCC horizontal"/>
        <xdr:cNvPicPr preferRelativeResize="1">
          <a:picLocks noChangeAspect="1"/>
        </xdr:cNvPicPr>
      </xdr:nvPicPr>
      <xdr:blipFill>
        <a:blip r:embed="rId1"/>
        <a:stretch>
          <a:fillRect/>
        </a:stretch>
      </xdr:blipFill>
      <xdr:spPr>
        <a:xfrm>
          <a:off x="542925" y="624840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2</xdr:col>
      <xdr:colOff>981075</xdr:colOff>
      <xdr:row>28</xdr:row>
      <xdr:rowOff>28575</xdr:rowOff>
    </xdr:from>
    <xdr:to>
      <xdr:col>6</xdr:col>
      <xdr:colOff>257175</xdr:colOff>
      <xdr:row>50</xdr:row>
      <xdr:rowOff>123825</xdr:rowOff>
    </xdr:to>
    <xdr:graphicFrame>
      <xdr:nvGraphicFramePr>
        <xdr:cNvPr id="6" name="Chart 1"/>
        <xdr:cNvGraphicFramePr/>
      </xdr:nvGraphicFramePr>
      <xdr:xfrm>
        <a:off x="2762250" y="7781925"/>
        <a:ext cx="5657850" cy="3657600"/>
      </xdr:xfrm>
      <a:graphic>
        <a:graphicData uri="http://schemas.openxmlformats.org/drawingml/2006/chart">
          <c:chart xmlns:c="http://schemas.openxmlformats.org/drawingml/2006/chart" r:id="rId2"/>
        </a:graphicData>
      </a:graphic>
    </xdr:graphicFrame>
    <xdr:clientData/>
  </xdr:twoCellAnchor>
  <xdr:twoCellAnchor editAs="oneCell">
    <xdr:from>
      <xdr:col>3</xdr:col>
      <xdr:colOff>561975</xdr:colOff>
      <xdr:row>0</xdr:row>
      <xdr:rowOff>142875</xdr:rowOff>
    </xdr:from>
    <xdr:to>
      <xdr:col>6</xdr:col>
      <xdr:colOff>0</xdr:colOff>
      <xdr:row>1</xdr:row>
      <xdr:rowOff>133350</xdr:rowOff>
    </xdr:to>
    <xdr:pic>
      <xdr:nvPicPr>
        <xdr:cNvPr id="7" name="Picture 4" descr="MCC horizontal"/>
        <xdr:cNvPicPr preferRelativeResize="1">
          <a:picLocks noChangeAspect="1"/>
        </xdr:cNvPicPr>
      </xdr:nvPicPr>
      <xdr:blipFill>
        <a:blip r:embed="rId3"/>
        <a:stretch>
          <a:fillRect/>
        </a:stretch>
      </xdr:blipFill>
      <xdr:spPr>
        <a:xfrm>
          <a:off x="6000750" y="142875"/>
          <a:ext cx="21621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114300</xdr:rowOff>
    </xdr:from>
    <xdr:to>
      <xdr:col>10</xdr:col>
      <xdr:colOff>0</xdr:colOff>
      <xdr:row>1</xdr:row>
      <xdr:rowOff>133350</xdr:rowOff>
    </xdr:to>
    <xdr:pic>
      <xdr:nvPicPr>
        <xdr:cNvPr id="1" name="Picture 4" descr="MCC horizontal"/>
        <xdr:cNvPicPr preferRelativeResize="1">
          <a:picLocks noChangeAspect="1"/>
        </xdr:cNvPicPr>
      </xdr:nvPicPr>
      <xdr:blipFill>
        <a:blip r:embed="rId1"/>
        <a:stretch>
          <a:fillRect/>
        </a:stretch>
      </xdr:blipFill>
      <xdr:spPr>
        <a:xfrm>
          <a:off x="6334125" y="114300"/>
          <a:ext cx="240030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1</xdr:col>
      <xdr:colOff>28575</xdr:colOff>
      <xdr:row>5</xdr:row>
      <xdr:rowOff>0</xdr:rowOff>
    </xdr:to>
    <xdr:sp>
      <xdr:nvSpPr>
        <xdr:cNvPr id="1" name="Rectangle 15" descr="abaa4129-f812-4fd1-86d8-6dfa45e04767"/>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2" name="Rectangle 19" descr="8062d8c6-2de9-4301-94a4-4af963a37340"/>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3" name="Rectangle 20" descr="fa376cdd-e8d7-457b-a6bd-6ca212133ecf"/>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4" name="Rectangle 21" descr="7dfc88ca-160c-4fdb-b590-6ee2f8705f5c"/>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5" name="Rectangle 22" descr="d66a43f8-e9f6-47f5-bc0b-088a11ff42e4"/>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6" name="Rectangle 23" descr="e5058398-0988-49c5-9a06-d8dd8861f5e4"/>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7" name="Rectangle 24" descr="82e4fe3e-bae6-4bd9-917d-d81e5590c9c2"/>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8" name="Rectangle 25" descr="da83c4dc-225d-479c-aae8-89aefeb19a9f"/>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9" name="Rectangle 26" descr="940a0f0f-2fc4-446a-aded-a5f327322124"/>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10" name="Rectangle 27" descr="41a1f865-8565-4799-b259-f8f54e88d983"/>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11" name="Rectangle 28" descr="67f30bf9-23b9-43e2-8df3-37261e189b79"/>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12" name="Rectangle 29" descr="7de66efc-bd7c-4176-80d9-cbf853e3981b"/>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13" name="Rectangle 30" descr="99668bb5-36fa-4be6-a506-aed0bff990d7"/>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14" name="Rectangle 31" descr="7ac6d277-0c2a-4161-adbc-09bcf0e7a9f9"/>
        <xdr:cNvSpPr>
          <a:spLocks/>
        </xdr:cNvSpPr>
      </xdr:nvSpPr>
      <xdr:spPr>
        <a:xfrm>
          <a:off x="542925" y="1095375"/>
          <a:ext cx="5353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15" name="Rectangle 32" descr="525fafb5-ae4e-4aee-8ff5-6ccbfc976d76"/>
        <xdr:cNvSpPr>
          <a:spLocks/>
        </xdr:cNvSpPr>
      </xdr:nvSpPr>
      <xdr:spPr>
        <a:xfrm>
          <a:off x="542925" y="1095375"/>
          <a:ext cx="5353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16" name="Rectangle 33" descr="f58b83f7-2ed0-42e3-a3af-38febcdec931"/>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17" name="Rectangle 34" descr="c818912e-d03c-4baf-9bad-ce1438a0b0d0"/>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18" name="Rectangle 35" descr="4d7d59e6-f26d-4ae4-909e-c7dcd15b84f4"/>
        <xdr:cNvSpPr>
          <a:spLocks/>
        </xdr:cNvSpPr>
      </xdr:nvSpPr>
      <xdr:spPr>
        <a:xfrm>
          <a:off x="7219950" y="1095375"/>
          <a:ext cx="9525"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9" name="Rectangle 36" descr="6991d3aa-59fb-4927-b4aa-ca67636e46f4"/>
        <xdr:cNvSpPr>
          <a:spLocks/>
        </xdr:cNvSpPr>
      </xdr:nvSpPr>
      <xdr:spPr>
        <a:xfrm>
          <a:off x="7191375" y="1095375"/>
          <a:ext cx="19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20" name="Rectangle 37" descr="d6a24ed4-44a2-4753-beb1-49e0ab9f91c1"/>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21" name="Rectangle 39" descr="b489ac5b-13df-4e28-a7f5-3ac36288f9a0"/>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22" name="Rectangle 40" descr="4535bfdd-89c9-42a6-a605-4661a4111940"/>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23" name="Rectangle 42" descr="2dc9d414-94cb-418b-a8bd-517fbb7b3891"/>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24" name="Rectangle 44" descr="7591f874-1a72-478b-8c2d-db0e847baf4f"/>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25" name="Rectangle 45" descr="d3a677ac-641d-4914-9006-7c001903bd0e"/>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26" name="Rectangle 46" descr="d5c4646c-b8c9-492b-82a2-a5c43b7975cb"/>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27" name="Rectangle 47" descr="04488725-a30a-48dd-ae13-60f546eeceea"/>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28" name="Rectangle 49" descr="396e68aa-f7f8-4f4c-891a-59793d4daeae"/>
        <xdr:cNvSpPr>
          <a:spLocks/>
        </xdr:cNvSpPr>
      </xdr:nvSpPr>
      <xdr:spPr>
        <a:xfrm>
          <a:off x="542925" y="1095375"/>
          <a:ext cx="5353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29" name="Rectangle 50" descr="47ac952e-0dd7-4238-85ae-cdea6e8ab69e"/>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30" name="Rectangle 51" descr="fc629c5e-dcc7-44d4-8048-facc0508a949"/>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31" name="Rectangle 53" descr="0dae591c-4f16-422c-8d09-ad4c62eb6dc4"/>
        <xdr:cNvSpPr>
          <a:spLocks/>
        </xdr:cNvSpPr>
      </xdr:nvSpPr>
      <xdr:spPr>
        <a:xfrm>
          <a:off x="7219950" y="1095375"/>
          <a:ext cx="9525"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32" name="Rectangle 54" descr="e24aabdb-e8f1-4606-82df-fa20da7e364f"/>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33" name="Rectangle 55" descr="1e13b838-87b6-4d04-9da1-495e449446fb"/>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34" name="Rectangle 56" descr="2baa6738-ddb0-42ff-b12a-b4d598d59fc7"/>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35" name="Rectangle 57" descr="11027b27-94dd-4e32-a913-ff56643beae5"/>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36" name="Rectangle 58" descr="39c6bd91-71ce-4cf3-ae43-cd0dccce8144"/>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37" name="Rectangle 60" descr="028d96e2-dbd1-4169-bfa6-ba42db0e979a"/>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38" name="Rectangle 61" descr="913647bc-d5bc-4838-bb9f-907ce0c6fbff"/>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39" name="Rectangle 62" descr="ea293d4e-e775-48c4-8176-e3a1a2b735bf"/>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40" name="Rectangle 64" descr="e7aab67b-16c2-4b18-a2a4-bfdbf5ac454a"/>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41" name="Rectangle 65" descr="fd40ce26-7a19-4185-a402-6dc31f770768"/>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42" name="Rectangle 66" descr="c0986236-e5fe-4a95-b0b5-517551c812b9"/>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43" name="Rectangle 67" descr="dec80f50-134f-42f0-adcd-4b183dc1d538"/>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44" name="Rectangle 68" descr="473268f3-04d6-4ed8-b820-a286c60979d2"/>
        <xdr:cNvSpPr>
          <a:spLocks/>
        </xdr:cNvSpPr>
      </xdr:nvSpPr>
      <xdr:spPr>
        <a:xfrm>
          <a:off x="542925" y="1095375"/>
          <a:ext cx="5353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45" name="Rectangle 70" descr="d96eec66-b842-425b-bb7f-268c5ec1875d"/>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46" name="Rectangle 71" descr="c0c7e780-fe0c-49f7-b32c-527f30279448"/>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47" name="Rectangle 72" descr="d6c9fa4d-e97c-49d8-b2ed-cec974f804ec"/>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48" name="Rectangle 74" descr="2dfd7e8d-873d-4cf3-834e-842458ab426d"/>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49" name="Rectangle 75" descr="1b08d7b3-d529-4f28-a9a2-0297b24b1cd9"/>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50" name="Rectangle 76" descr="3cfd3e67-6a54-4512-b236-0c5e4d22058d"/>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51" name="Rectangle 77" descr="48685aa3-d0d4-4d7a-8d34-d80143798ca4"/>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52" name="Rectangle 78" descr="50d04b38-46c9-42d8-b8e3-9450fd5be68f"/>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53" name="Rectangle 79" descr="d1065166-b061-4d2a-bd29-79ddf1f30161"/>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54" name="Rectangle 80" descr="d049d0d6-b10a-4afe-9b5e-b8d25bdfebdc"/>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55" name="Rectangle 81" descr="76f0896c-6d9e-4e2f-94a4-523337ed63b6"/>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56" name="Rectangle 82" descr="b713ad1c-9cbf-4936-97c7-2d4344796d6d"/>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57" name="Rectangle 84" descr="4d6b0d51-90c6-49c0-a764-d555594efa00"/>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58" name="Rectangle 85" descr="9136d123-41f5-4186-9e3b-8dd8ada66e3c"/>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59" name="Rectangle 86" descr="5af4d9ae-9ccb-4c67-ab7e-f637ed12546a"/>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60" name="Rectangle 87" descr="64951bb1-7d56-47f3-914c-9ee576015e0e"/>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61" name="Rectangle 88" descr="0ca2e702-5593-4b18-a15a-8ac7567727aa"/>
        <xdr:cNvSpPr>
          <a:spLocks/>
        </xdr:cNvSpPr>
      </xdr:nvSpPr>
      <xdr:spPr>
        <a:xfrm>
          <a:off x="542925" y="1095375"/>
          <a:ext cx="5353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62" name="Rectangle 89" descr="b4aac1fb-760c-4223-ae83-4aca94185a18"/>
        <xdr:cNvSpPr>
          <a:spLocks/>
        </xdr:cNvSpPr>
      </xdr:nvSpPr>
      <xdr:spPr>
        <a:xfrm>
          <a:off x="542925" y="1095375"/>
          <a:ext cx="5353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63" name="Rectangle 90" descr="ba06a1eb-a347-4251-8ea2-fe2d45e77081"/>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64" name="Rectangle 91" descr="b0e8aeb1-6edb-41bd-b211-308db00cf9ff"/>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65" name="Rectangle 93" descr="45dc1bd7-9189-4d50-a413-03b8ed6b5119"/>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66" name="Rectangle 94" descr="b15848fe-6ec9-4af7-ae25-696eb2248bc0"/>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67" name="Rectangle 95" descr="cea29870-b209-486d-8f45-0577b7725024"/>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68" name="Rectangle 96" descr="eee780a9-e9c0-4da2-bd22-6229f1483459"/>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69" name="Rectangle 97" descr="ed77a39b-cf46-48e5-9413-96441215b3ca"/>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70" name="Rectangle 98" descr="77726650-7c12-4e9b-a7f2-ede3cf46228f"/>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71" name="Rectangle 99" descr="0f9fcf5f-e904-4cdc-905e-a1e2b39af4af"/>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72" name="Rectangle 100" descr="b30f480a-9f44-4d8c-8fdb-1458050422c5"/>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73" name="Rectangle 101" descr="d1745b70-6a21-4ebb-9c3a-f6499e5234ad"/>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28575</xdr:colOff>
      <xdr:row>5</xdr:row>
      <xdr:rowOff>0</xdr:rowOff>
    </xdr:to>
    <xdr:sp>
      <xdr:nvSpPr>
        <xdr:cNvPr id="74" name="Rectangle 102" descr="8541d936-1bdf-4848-8697-a2e6e1f260c2"/>
        <xdr:cNvSpPr>
          <a:spLocks/>
        </xdr:cNvSpPr>
      </xdr:nvSpPr>
      <xdr:spPr>
        <a:xfrm>
          <a:off x="514350" y="1095375"/>
          <a:ext cx="2857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75" name="Rectangle 103" descr="881d1aea-fa73-480e-b818-cba746ade2f7"/>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76" name="Rectangle 104" descr="bc4bb53d-ecf8-463d-a9d8-9d6525d17099"/>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77" name="Rectangle 106" descr="1f0ccfc9-5d9e-4e26-94e4-c38f894220ad"/>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78" name="Rectangle 107" descr="571458c2-3437-47a3-8bed-3c14d944ac60"/>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4</xdr:col>
      <xdr:colOff>409575</xdr:colOff>
      <xdr:row>5</xdr:row>
      <xdr:rowOff>0</xdr:rowOff>
    </xdr:to>
    <xdr:sp>
      <xdr:nvSpPr>
        <xdr:cNvPr id="79" name="Rectangle 109" descr="ede00e81-a606-4daa-986c-98812cfc91c4"/>
        <xdr:cNvSpPr>
          <a:spLocks/>
        </xdr:cNvSpPr>
      </xdr:nvSpPr>
      <xdr:spPr>
        <a:xfrm>
          <a:off x="542925" y="1095375"/>
          <a:ext cx="5353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80" name="Rectangle 110" descr="73a756e3-53bb-4e61-9e63-a320109ee98c"/>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447675</xdr:colOff>
      <xdr:row>5</xdr:row>
      <xdr:rowOff>0</xdr:rowOff>
    </xdr:to>
    <xdr:sp>
      <xdr:nvSpPr>
        <xdr:cNvPr id="81" name="Rectangle 111" descr="1fbf3344-4e6b-4edc-8d99-34694847a6ba"/>
        <xdr:cNvSpPr>
          <a:spLocks/>
        </xdr:cNvSpPr>
      </xdr:nvSpPr>
      <xdr:spPr>
        <a:xfrm>
          <a:off x="5895975" y="1095375"/>
          <a:ext cx="381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82" name="Rectangle 112" descr="1f4f2fa7-7716-403b-a0a2-5031d81541a1"/>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83" name="Rectangle 113" descr="4983ee66-1a99-4c23-836b-b588ecd3c708"/>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84" name="Rectangle 114" descr="f32ca255-0fec-4b86-bde0-271b311e08ab"/>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85" name="Rectangle 115" descr="b2fcb149-cf78-4f15-b995-71c47984a943"/>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86" name="Rectangle 116" descr="2306516c-321b-4b9f-a650-404fb6b9ddf5"/>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87" name="Rectangle 117" descr="bde0752c-51e2-4bcc-95c7-cc5028c7dd79"/>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4</xdr:col>
      <xdr:colOff>447675</xdr:colOff>
      <xdr:row>5</xdr:row>
      <xdr:rowOff>0</xdr:rowOff>
    </xdr:to>
    <xdr:sp>
      <xdr:nvSpPr>
        <xdr:cNvPr id="88" name="Rectangle 118" descr="383d04bf-389b-43f6-8b7d-985fd6c2c794"/>
        <xdr:cNvSpPr>
          <a:spLocks/>
        </xdr:cNvSpPr>
      </xdr:nvSpPr>
      <xdr:spPr>
        <a:xfrm>
          <a:off x="591502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89" name="Rectangle 119" descr="d316d514-daa9-4b0a-85fa-84e712d4c539"/>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90" name="Rectangle 120" descr="15e86b29-f606-48af-b815-c01ae3fae313"/>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91" name="Rectangle 121" descr="58b7b3b1-15b9-470b-9798-d60dc7304e3e"/>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xdr:row>
      <xdr:rowOff>0</xdr:rowOff>
    </xdr:from>
    <xdr:to>
      <xdr:col>1</xdr:col>
      <xdr:colOff>0</xdr:colOff>
      <xdr:row>5</xdr:row>
      <xdr:rowOff>0</xdr:rowOff>
    </xdr:to>
    <xdr:sp>
      <xdr:nvSpPr>
        <xdr:cNvPr id="92" name="Rectangle 122" descr="d81f83cf-9037-45e7-b2c7-f17ee6ecb877"/>
        <xdr:cNvSpPr>
          <a:spLocks/>
        </xdr:cNvSpPr>
      </xdr:nvSpPr>
      <xdr:spPr>
        <a:xfrm>
          <a:off x="514350" y="1095375"/>
          <a:ext cx="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0</xdr:rowOff>
    </xdr:from>
    <xdr:to>
      <xdr:col>1</xdr:col>
      <xdr:colOff>28575</xdr:colOff>
      <xdr:row>5</xdr:row>
      <xdr:rowOff>0</xdr:rowOff>
    </xdr:to>
    <xdr:sp>
      <xdr:nvSpPr>
        <xdr:cNvPr id="93" name="Rectangle 123" descr="de69287e-c29c-4e81-86a6-b3a5f1963109"/>
        <xdr:cNvSpPr>
          <a:spLocks/>
        </xdr:cNvSpPr>
      </xdr:nvSpPr>
      <xdr:spPr>
        <a:xfrm>
          <a:off x="5238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5</xdr:row>
      <xdr:rowOff>0</xdr:rowOff>
    </xdr:from>
    <xdr:to>
      <xdr:col>4</xdr:col>
      <xdr:colOff>419100</xdr:colOff>
      <xdr:row>5</xdr:row>
      <xdr:rowOff>0</xdr:rowOff>
    </xdr:to>
    <xdr:sp>
      <xdr:nvSpPr>
        <xdr:cNvPr id="94" name="Rectangle 124" descr="1fc1969a-cf21-4e85-a740-9140ae5ad64b"/>
        <xdr:cNvSpPr>
          <a:spLocks/>
        </xdr:cNvSpPr>
      </xdr:nvSpPr>
      <xdr:spPr>
        <a:xfrm>
          <a:off x="5895975"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xdr:row>
      <xdr:rowOff>0</xdr:rowOff>
    </xdr:from>
    <xdr:to>
      <xdr:col>6</xdr:col>
      <xdr:colOff>428625</xdr:colOff>
      <xdr:row>5</xdr:row>
      <xdr:rowOff>0</xdr:rowOff>
    </xdr:to>
    <xdr:sp>
      <xdr:nvSpPr>
        <xdr:cNvPr id="95" name="Rectangle 127" descr="a40ed83d-711f-4995-ba04-06cf71e93d2d"/>
        <xdr:cNvSpPr>
          <a:spLocks/>
        </xdr:cNvSpPr>
      </xdr:nvSpPr>
      <xdr:spPr>
        <a:xfrm>
          <a:off x="7219950" y="1095375"/>
          <a:ext cx="9525"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96" name="Rectangle 128" descr="3535435a-ef22-44e4-a104-4ba69196493a"/>
        <xdr:cNvSpPr>
          <a:spLocks/>
        </xdr:cNvSpPr>
      </xdr:nvSpPr>
      <xdr:spPr>
        <a:xfrm>
          <a:off x="7191375" y="1095375"/>
          <a:ext cx="19050" cy="0"/>
        </a:xfrm>
        <a:prstGeom prst="rect">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97" name="Rectangle 132" descr="0a7344d7-d07a-4d18-b4c9-06d4b9611139"/>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98" name="Rectangle 133" descr="c1cee940-8a97-4c81-a338-7e457efed452"/>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5</xdr:row>
      <xdr:rowOff>0</xdr:rowOff>
    </xdr:from>
    <xdr:to>
      <xdr:col>6</xdr:col>
      <xdr:colOff>390525</xdr:colOff>
      <xdr:row>5</xdr:row>
      <xdr:rowOff>0</xdr:rowOff>
    </xdr:to>
    <xdr:sp>
      <xdr:nvSpPr>
        <xdr:cNvPr id="99" name="Rectangle 134" descr="3fcd0ada-a2a4-439f-820a-1dd0b8c52cbb"/>
        <xdr:cNvSpPr>
          <a:spLocks/>
        </xdr:cNvSpPr>
      </xdr:nvSpPr>
      <xdr:spPr>
        <a:xfrm>
          <a:off x="5934075" y="1095375"/>
          <a:ext cx="12573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5</xdr:row>
      <xdr:rowOff>0</xdr:rowOff>
    </xdr:from>
    <xdr:to>
      <xdr:col>6</xdr:col>
      <xdr:colOff>390525</xdr:colOff>
      <xdr:row>5</xdr:row>
      <xdr:rowOff>0</xdr:rowOff>
    </xdr:to>
    <xdr:sp>
      <xdr:nvSpPr>
        <xdr:cNvPr id="100" name="Rectangle 137" descr="06b3583c-a962-4703-a343-883dba350f6d"/>
        <xdr:cNvSpPr>
          <a:spLocks/>
        </xdr:cNvSpPr>
      </xdr:nvSpPr>
      <xdr:spPr>
        <a:xfrm>
          <a:off x="5934075" y="1095375"/>
          <a:ext cx="12573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1" name="Rectangle 138" descr="a1b1a438-d28d-4f91-941e-b99c98ff8bcd"/>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2" name="Rectangle 139" descr="87823a48-660b-4381-9353-c89ed78d10b3"/>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3" name="Rectangle 142" descr="e5d9d3c5-a6c9-4486-a929-a516edde37f1"/>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4" name="Rectangle 143" descr="d731d700-e153-474b-9c59-bd8ca1b8186e"/>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5</xdr:row>
      <xdr:rowOff>0</xdr:rowOff>
    </xdr:from>
    <xdr:to>
      <xdr:col>6</xdr:col>
      <xdr:colOff>390525</xdr:colOff>
      <xdr:row>5</xdr:row>
      <xdr:rowOff>0</xdr:rowOff>
    </xdr:to>
    <xdr:sp>
      <xdr:nvSpPr>
        <xdr:cNvPr id="105" name="Rectangle 145" descr="ad8598fe-2e43-4bab-9830-d103019241e4"/>
        <xdr:cNvSpPr>
          <a:spLocks/>
        </xdr:cNvSpPr>
      </xdr:nvSpPr>
      <xdr:spPr>
        <a:xfrm>
          <a:off x="5934075" y="1095375"/>
          <a:ext cx="12573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6" name="Rectangle 146" descr="bba71bcc-5ba0-4966-bbba-08be61f5f850"/>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7" name="Rectangle 147" descr="d3bb944f-dc78-4cf4-981e-041a4e637e3e"/>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428625</xdr:colOff>
      <xdr:row>5</xdr:row>
      <xdr:rowOff>0</xdr:rowOff>
    </xdr:to>
    <xdr:sp>
      <xdr:nvSpPr>
        <xdr:cNvPr id="108" name="Rectangle 148" descr="e5818793-5844-4590-9042-b2b59a17d87c"/>
        <xdr:cNvSpPr>
          <a:spLocks/>
        </xdr:cNvSpPr>
      </xdr:nvSpPr>
      <xdr:spPr>
        <a:xfrm>
          <a:off x="7191375" y="1095375"/>
          <a:ext cx="381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xdr:row>
      <xdr:rowOff>0</xdr:rowOff>
    </xdr:from>
    <xdr:to>
      <xdr:col>6</xdr:col>
      <xdr:colOff>409575</xdr:colOff>
      <xdr:row>5</xdr:row>
      <xdr:rowOff>0</xdr:rowOff>
    </xdr:to>
    <xdr:sp>
      <xdr:nvSpPr>
        <xdr:cNvPr id="109" name="Rectangle 149" descr="02f8283f-7b3f-45d9-8ccb-7df7de11ad3b"/>
        <xdr:cNvSpPr>
          <a:spLocks/>
        </xdr:cNvSpPr>
      </xdr:nvSpPr>
      <xdr:spPr>
        <a:xfrm>
          <a:off x="7191375" y="1095375"/>
          <a:ext cx="1905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5</xdr:row>
      <xdr:rowOff>0</xdr:rowOff>
    </xdr:from>
    <xdr:to>
      <xdr:col>6</xdr:col>
      <xdr:colOff>390525</xdr:colOff>
      <xdr:row>5</xdr:row>
      <xdr:rowOff>0</xdr:rowOff>
    </xdr:to>
    <xdr:sp>
      <xdr:nvSpPr>
        <xdr:cNvPr id="110" name="Rectangle 151" descr="52ec7966-3545-419c-8c1f-f6ba19a106bd"/>
        <xdr:cNvSpPr>
          <a:spLocks/>
        </xdr:cNvSpPr>
      </xdr:nvSpPr>
      <xdr:spPr>
        <a:xfrm>
          <a:off x="5934075" y="1095375"/>
          <a:ext cx="1257300" cy="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609600</xdr:colOff>
      <xdr:row>0</xdr:row>
      <xdr:rowOff>104775</xdr:rowOff>
    </xdr:from>
    <xdr:to>
      <xdr:col>7</xdr:col>
      <xdr:colOff>647700</xdr:colOff>
      <xdr:row>1</xdr:row>
      <xdr:rowOff>142875</xdr:rowOff>
    </xdr:to>
    <xdr:pic>
      <xdr:nvPicPr>
        <xdr:cNvPr id="111" name="Picture 4" descr="MCC horizontal"/>
        <xdr:cNvPicPr preferRelativeResize="1">
          <a:picLocks noChangeAspect="1"/>
        </xdr:cNvPicPr>
      </xdr:nvPicPr>
      <xdr:blipFill>
        <a:blip r:embed="rId1"/>
        <a:stretch>
          <a:fillRect/>
        </a:stretch>
      </xdr:blipFill>
      <xdr:spPr>
        <a:xfrm>
          <a:off x="5438775" y="104775"/>
          <a:ext cx="2667000" cy="200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37</xdr:row>
      <xdr:rowOff>0</xdr:rowOff>
    </xdr:from>
    <xdr:to>
      <xdr:col>6</xdr:col>
      <xdr:colOff>0</xdr:colOff>
      <xdr:row>37</xdr:row>
      <xdr:rowOff>0</xdr:rowOff>
    </xdr:to>
    <xdr:graphicFrame>
      <xdr:nvGraphicFramePr>
        <xdr:cNvPr id="1" name="Chart 1"/>
        <xdr:cNvGraphicFramePr/>
      </xdr:nvGraphicFramePr>
      <xdr:xfrm>
        <a:off x="5553075" y="6200775"/>
        <a:ext cx="523875"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37</xdr:row>
      <xdr:rowOff>0</xdr:rowOff>
    </xdr:from>
    <xdr:to>
      <xdr:col>9</xdr:col>
      <xdr:colOff>561975</xdr:colOff>
      <xdr:row>37</xdr:row>
      <xdr:rowOff>0</xdr:rowOff>
    </xdr:to>
    <xdr:graphicFrame>
      <xdr:nvGraphicFramePr>
        <xdr:cNvPr id="2" name="Chart 2"/>
        <xdr:cNvGraphicFramePr/>
      </xdr:nvGraphicFramePr>
      <xdr:xfrm>
        <a:off x="7343775" y="6200775"/>
        <a:ext cx="1323975" cy="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628650</xdr:colOff>
      <xdr:row>0</xdr:row>
      <xdr:rowOff>114300</xdr:rowOff>
    </xdr:from>
    <xdr:to>
      <xdr:col>9</xdr:col>
      <xdr:colOff>0</xdr:colOff>
      <xdr:row>1</xdr:row>
      <xdr:rowOff>123825</xdr:rowOff>
    </xdr:to>
    <xdr:pic>
      <xdr:nvPicPr>
        <xdr:cNvPr id="3" name="Picture 1"/>
        <xdr:cNvPicPr preferRelativeResize="1">
          <a:picLocks noChangeAspect="1"/>
        </xdr:cNvPicPr>
      </xdr:nvPicPr>
      <xdr:blipFill>
        <a:blip r:embed="rId3"/>
        <a:stretch>
          <a:fillRect/>
        </a:stretch>
      </xdr:blipFill>
      <xdr:spPr>
        <a:xfrm>
          <a:off x="5867400" y="114300"/>
          <a:ext cx="2238375"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0</xdr:row>
      <xdr:rowOff>85725</xdr:rowOff>
    </xdr:from>
    <xdr:to>
      <xdr:col>13</xdr:col>
      <xdr:colOff>66675</xdr:colOff>
      <xdr:row>1</xdr:row>
      <xdr:rowOff>85725</xdr:rowOff>
    </xdr:to>
    <xdr:pic>
      <xdr:nvPicPr>
        <xdr:cNvPr id="1" name="Picture 1"/>
        <xdr:cNvPicPr preferRelativeResize="1">
          <a:picLocks noChangeAspect="1"/>
        </xdr:cNvPicPr>
      </xdr:nvPicPr>
      <xdr:blipFill>
        <a:blip r:embed="rId1"/>
        <a:stretch>
          <a:fillRect/>
        </a:stretch>
      </xdr:blipFill>
      <xdr:spPr>
        <a:xfrm>
          <a:off x="5829300" y="85725"/>
          <a:ext cx="2162175"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85725</xdr:rowOff>
    </xdr:from>
    <xdr:to>
      <xdr:col>8</xdr:col>
      <xdr:colOff>28575</xdr:colOff>
      <xdr:row>1</xdr:row>
      <xdr:rowOff>85725</xdr:rowOff>
    </xdr:to>
    <xdr:pic>
      <xdr:nvPicPr>
        <xdr:cNvPr id="1" name="Picture 1"/>
        <xdr:cNvPicPr preferRelativeResize="1">
          <a:picLocks noChangeAspect="1"/>
        </xdr:cNvPicPr>
      </xdr:nvPicPr>
      <xdr:blipFill>
        <a:blip r:embed="rId1"/>
        <a:stretch>
          <a:fillRect/>
        </a:stretch>
      </xdr:blipFill>
      <xdr:spPr>
        <a:xfrm>
          <a:off x="5915025" y="85725"/>
          <a:ext cx="216217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CoolChainAssessment3_IM_Clea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s\Office_Shares\_divisions\Economic%20Analysis\ERR%20Spreadsheets\Web%20Dissemination\Ongoing%20Work\Namibia\47_Schools_ERR_wrk%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_divisions\Economic%20Analysis\ERR%20Spreadsheets\Guidelines%20and%20Trackers\template%20-%20ERR.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FeederRoadAnalysis_IM_Clean%20-%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Web%20Dissemination\Ongoing%20Work\Mongolia\Mongolia%20Health%20ERR.IM%20Cleaned%20-%20v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C15">
            <v>75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B_DATA_"/>
      <sheetName val="User's Guide"/>
      <sheetName val="Activity Description"/>
      <sheetName val="ERR &amp; Sensitivity Analysis"/>
      <sheetName val="ERR Calculation"/>
      <sheetName val="Enrollment dynamics"/>
      <sheetName val="Key Assumptions"/>
      <sheetName val="Detailed enrollment"/>
    </sheetNames>
    <sheetDataSet>
      <sheetData sheetId="1">
        <row r="12">
          <cell r="C12" t="str">
            <v>Education Project</v>
          </cell>
        </row>
        <row r="13">
          <cell r="C13" t="str">
            <v>Upgrading and Constructing up to 47 Primary and Secondary Schools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Project Description"/>
      <sheetName val="CB_DATA_"/>
      <sheetName val="ERR &amp; Sensitivity Analysis"/>
      <sheetName val="Cost-Benefit Summary"/>
      <sheetName val="Background Sheet 1"/>
      <sheetName val="Background Sheet 2"/>
      <sheetName val="Crystal Ball Report"/>
      <sheetName val="HDM-4 Vehicle Fleet"/>
      <sheetName val="HDM-4 Cost Streams"/>
      <sheetName val="HDM-4 AADT"/>
      <sheetName val="PS"/>
    </sheetNames>
    <sheetDataSet>
      <sheetData sheetId="5">
        <row r="7">
          <cell r="C7">
            <v>0.3</v>
          </cell>
        </row>
      </sheetData>
      <sheetData sheetId="6">
        <row r="10">
          <cell r="C10">
            <v>0.06</v>
          </cell>
        </row>
        <row r="14">
          <cell r="C14">
            <v>0.06</v>
          </cell>
        </row>
        <row r="15">
          <cell r="C15">
            <v>0.85</v>
          </cell>
        </row>
        <row r="17">
          <cell r="C17">
            <v>15</v>
          </cell>
        </row>
        <row r="18">
          <cell r="C18">
            <v>3400</v>
          </cell>
        </row>
        <row r="25">
          <cell r="D25">
            <v>30</v>
          </cell>
        </row>
        <row r="26">
          <cell r="D26">
            <v>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ser's Guide"/>
      <sheetName val="Project Description"/>
      <sheetName val="CB_DATA_"/>
      <sheetName val="ERR &amp; Sensitivity Analysis"/>
      <sheetName val="AllFeederRoads"/>
      <sheetName val="Gravel"/>
      <sheetName val="Costs"/>
      <sheetName val="Benefits"/>
      <sheetName val="Incremental"/>
    </sheetNames>
    <sheetDataSet>
      <sheetData sheetId="6">
        <row r="8">
          <cell r="C8">
            <v>1200</v>
          </cell>
        </row>
        <row r="9">
          <cell r="C9">
            <v>15000</v>
          </cell>
        </row>
      </sheetData>
      <sheetData sheetId="7">
        <row r="10">
          <cell r="C10">
            <v>0.015</v>
          </cell>
        </row>
        <row r="11">
          <cell r="C11">
            <v>0.03</v>
          </cell>
        </row>
        <row r="12">
          <cell r="C12">
            <v>1</v>
          </cell>
        </row>
        <row r="13">
          <cell r="C13">
            <v>5</v>
          </cell>
        </row>
        <row r="14">
          <cell r="C14">
            <v>10</v>
          </cell>
        </row>
        <row r="15">
          <cell r="C15">
            <v>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 val="Mongolia Health ERR"/>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vmlDrawing" Target="../drawings/vmlDrawing4.v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4">
    <pageSetUpPr fitToPage="1"/>
  </sheetPr>
  <dimension ref="B1:E86"/>
  <sheetViews>
    <sheetView showGridLines="0" tabSelected="1" zoomScalePageLayoutView="0" workbookViewId="0" topLeftCell="A1">
      <selection activeCell="A1" sqref="A1"/>
    </sheetView>
  </sheetViews>
  <sheetFormatPr defaultColWidth="9.140625" defaultRowHeight="12.75"/>
  <cols>
    <col min="1" max="1" width="7.7109375" style="0" customWidth="1"/>
    <col min="2" max="5" width="36.7109375" style="0" customWidth="1"/>
  </cols>
  <sheetData>
    <row r="1" spans="3:5" ht="12.75">
      <c r="C1" s="74"/>
      <c r="D1" s="74"/>
      <c r="E1" s="45"/>
    </row>
    <row r="2" ht="12.75" customHeight="1"/>
    <row r="3" ht="12.75" customHeight="1">
      <c r="D3" s="165"/>
    </row>
    <row r="4" spans="3:5" ht="12.75" customHeight="1">
      <c r="C4" s="442" t="s">
        <v>33</v>
      </c>
      <c r="D4" s="442"/>
      <c r="E4" s="442"/>
    </row>
    <row r="5" ht="12.75" customHeight="1">
      <c r="D5" s="165"/>
    </row>
    <row r="6" ht="12.75" customHeight="1">
      <c r="D6" s="165"/>
    </row>
    <row r="7" spans="3:5" ht="12.75">
      <c r="C7" s="156"/>
      <c r="D7" s="156"/>
      <c r="E7" s="157"/>
    </row>
    <row r="8" spans="3:5" ht="13.5" thickBot="1">
      <c r="C8" s="156"/>
      <c r="D8" s="156"/>
      <c r="E8" s="157"/>
    </row>
    <row r="9" spans="2:5" s="137" customFormat="1" ht="18" customHeight="1" thickTop="1">
      <c r="B9" s="183" t="s">
        <v>129</v>
      </c>
      <c r="C9" s="164" t="s">
        <v>130</v>
      </c>
      <c r="D9" s="176" t="s">
        <v>131</v>
      </c>
      <c r="E9" s="166" t="s">
        <v>169</v>
      </c>
    </row>
    <row r="10" spans="2:5" s="137" customFormat="1" ht="18" customHeight="1">
      <c r="B10" s="183" t="s">
        <v>161</v>
      </c>
      <c r="C10" s="170">
        <v>38960</v>
      </c>
      <c r="D10" s="170">
        <v>40409</v>
      </c>
      <c r="E10" s="177">
        <v>41091</v>
      </c>
    </row>
    <row r="11" spans="2:5" s="137" customFormat="1" ht="18" customHeight="1">
      <c r="B11" s="183" t="s">
        <v>53</v>
      </c>
      <c r="C11" s="171" t="s">
        <v>160</v>
      </c>
      <c r="D11" s="167" t="s">
        <v>172</v>
      </c>
      <c r="E11" s="178" t="s">
        <v>136</v>
      </c>
    </row>
    <row r="12" spans="2:5" s="137" customFormat="1" ht="230.25" customHeight="1">
      <c r="B12" s="183" t="s">
        <v>162</v>
      </c>
      <c r="C12" s="171" t="s">
        <v>166</v>
      </c>
      <c r="D12" s="167" t="s">
        <v>166</v>
      </c>
      <c r="E12" s="178" t="s">
        <v>166</v>
      </c>
    </row>
    <row r="13" spans="2:5" s="138" customFormat="1" ht="12.75" customHeight="1">
      <c r="B13" s="446" t="s">
        <v>163</v>
      </c>
      <c r="C13" s="172" t="s">
        <v>170</v>
      </c>
      <c r="D13" s="172" t="s">
        <v>170</v>
      </c>
      <c r="E13" s="179" t="s">
        <v>170</v>
      </c>
    </row>
    <row r="14" spans="2:5" s="138" customFormat="1" ht="12.75" customHeight="1">
      <c r="B14" s="446"/>
      <c r="C14" s="173" t="s">
        <v>171</v>
      </c>
      <c r="D14" s="173" t="s">
        <v>171</v>
      </c>
      <c r="E14" s="180" t="s">
        <v>171</v>
      </c>
    </row>
    <row r="15" spans="2:5" s="138" customFormat="1" ht="25.5">
      <c r="B15" s="183" t="s">
        <v>164</v>
      </c>
      <c r="C15" s="174" t="s">
        <v>167</v>
      </c>
      <c r="D15" s="168" t="s">
        <v>167</v>
      </c>
      <c r="E15" s="181" t="s">
        <v>167</v>
      </c>
    </row>
    <row r="16" spans="2:5" s="138" customFormat="1" ht="18" customHeight="1">
      <c r="B16" s="183" t="s">
        <v>165</v>
      </c>
      <c r="C16" s="175" t="s">
        <v>168</v>
      </c>
      <c r="D16" s="169" t="s">
        <v>173</v>
      </c>
      <c r="E16" s="182" t="s">
        <v>216</v>
      </c>
    </row>
    <row r="17" spans="2:5" s="138" customFormat="1" ht="18" customHeight="1">
      <c r="B17" s="189"/>
      <c r="C17" s="186"/>
      <c r="D17" s="187"/>
      <c r="E17" s="188"/>
    </row>
    <row r="18" spans="2:5" s="138" customFormat="1" ht="18" customHeight="1">
      <c r="B18" s="191" t="s">
        <v>175</v>
      </c>
      <c r="C18" s="185"/>
      <c r="D18" s="185"/>
      <c r="E18" s="185"/>
    </row>
    <row r="19" spans="2:5" ht="12.75" customHeight="1">
      <c r="B19" s="190"/>
      <c r="C19" s="146"/>
      <c r="D19" s="146"/>
      <c r="E19" s="4"/>
    </row>
    <row r="20" spans="2:5" ht="12.75">
      <c r="B20" s="184" t="s">
        <v>79</v>
      </c>
      <c r="C20" s="147"/>
      <c r="D20" s="195"/>
      <c r="E20" s="196"/>
    </row>
    <row r="21" spans="2:5" ht="12.75">
      <c r="B21" s="192" t="s">
        <v>77</v>
      </c>
      <c r="C21" s="146"/>
      <c r="D21" s="146"/>
      <c r="E21" s="196"/>
    </row>
    <row r="22" spans="2:5" ht="12.75">
      <c r="B22" s="197"/>
      <c r="C22" s="146"/>
      <c r="D22" s="146"/>
      <c r="E22" s="195"/>
    </row>
    <row r="23" spans="2:5" ht="12.75">
      <c r="B23" s="198" t="s">
        <v>47</v>
      </c>
      <c r="C23" s="196"/>
      <c r="D23" s="198"/>
      <c r="E23" s="195"/>
    </row>
    <row r="24" spans="2:5" ht="12.75">
      <c r="B24" s="193" t="s">
        <v>78</v>
      </c>
      <c r="C24" s="193"/>
      <c r="D24" s="193"/>
      <c r="E24" s="196"/>
    </row>
    <row r="25" spans="2:5" ht="12.75">
      <c r="B25" s="197"/>
      <c r="C25" s="193"/>
      <c r="D25" s="193"/>
      <c r="E25" s="195"/>
    </row>
    <row r="26" spans="2:5" ht="12.75">
      <c r="B26" s="198" t="s">
        <v>181</v>
      </c>
      <c r="C26" s="193"/>
      <c r="D26" s="193"/>
      <c r="E26" s="195"/>
    </row>
    <row r="27" spans="2:5" ht="12.75">
      <c r="B27" s="445" t="s">
        <v>182</v>
      </c>
      <c r="C27" s="445"/>
      <c r="D27" s="445"/>
      <c r="E27" s="445"/>
    </row>
    <row r="28" spans="2:5" ht="12.75">
      <c r="B28" s="198"/>
      <c r="C28" s="193"/>
      <c r="D28" s="193"/>
      <c r="E28" s="195"/>
    </row>
    <row r="29" spans="2:5" ht="12.75">
      <c r="B29" s="199" t="s">
        <v>51</v>
      </c>
      <c r="C29" s="196"/>
      <c r="D29" s="199"/>
      <c r="E29" s="195"/>
    </row>
    <row r="30" spans="2:5" ht="25.5" customHeight="1">
      <c r="B30" s="443" t="s">
        <v>146</v>
      </c>
      <c r="C30" s="443"/>
      <c r="D30" s="443"/>
      <c r="E30" s="443"/>
    </row>
    <row r="31" spans="2:5" ht="12.75">
      <c r="B31" s="197"/>
      <c r="C31" s="193"/>
      <c r="D31" s="193"/>
      <c r="E31" s="195"/>
    </row>
    <row r="32" spans="2:5" ht="12.75">
      <c r="B32" s="199" t="s">
        <v>174</v>
      </c>
      <c r="C32" s="199"/>
      <c r="D32" s="195"/>
      <c r="E32" s="196"/>
    </row>
    <row r="33" spans="2:5" ht="12.75">
      <c r="B33" s="194" t="s">
        <v>137</v>
      </c>
      <c r="C33" s="194"/>
      <c r="D33" s="195"/>
      <c r="E33" s="196"/>
    </row>
    <row r="34" spans="2:5" ht="12.75">
      <c r="B34" s="194"/>
      <c r="C34" s="194"/>
      <c r="D34" s="195"/>
      <c r="E34" s="196"/>
    </row>
    <row r="35" spans="2:5" ht="12.75">
      <c r="B35" s="199" t="s">
        <v>101</v>
      </c>
      <c r="C35" s="199"/>
      <c r="D35" s="195"/>
      <c r="E35" s="196"/>
    </row>
    <row r="36" spans="2:5" ht="12.75">
      <c r="B36" s="200" t="s">
        <v>138</v>
      </c>
      <c r="C36" s="200"/>
      <c r="D36" s="195"/>
      <c r="E36" s="196"/>
    </row>
    <row r="37" spans="2:5" ht="12.75">
      <c r="B37" s="193"/>
      <c r="C37" s="193"/>
      <c r="D37" s="195"/>
      <c r="E37" s="196"/>
    </row>
    <row r="38" spans="2:5" ht="12.75">
      <c r="B38" s="199" t="s">
        <v>48</v>
      </c>
      <c r="C38" s="199"/>
      <c r="D38" s="195"/>
      <c r="E38" s="196"/>
    </row>
    <row r="39" spans="2:5" ht="12.75">
      <c r="B39" s="444" t="s">
        <v>147</v>
      </c>
      <c r="C39" s="444"/>
      <c r="D39" s="444"/>
      <c r="E39" s="444"/>
    </row>
    <row r="40" spans="2:5" ht="12.75">
      <c r="B40" s="13"/>
      <c r="C40" s="13"/>
      <c r="D40" s="13"/>
      <c r="E40" s="4"/>
    </row>
    <row r="41" spans="2:5" ht="12.75">
      <c r="B41" s="199" t="s">
        <v>219</v>
      </c>
      <c r="C41" s="13"/>
      <c r="D41" s="13"/>
      <c r="E41" s="4"/>
    </row>
    <row r="42" spans="2:5" ht="12.75">
      <c r="B42" s="441" t="s">
        <v>250</v>
      </c>
      <c r="C42" s="441"/>
      <c r="D42" s="441"/>
      <c r="E42" s="441"/>
    </row>
    <row r="86" ht="12.75">
      <c r="C86">
        <f>22.8*40</f>
        <v>912</v>
      </c>
    </row>
  </sheetData>
  <sheetProtection/>
  <mergeCells count="6">
    <mergeCell ref="B42:E42"/>
    <mergeCell ref="C4:E4"/>
    <mergeCell ref="B30:E30"/>
    <mergeCell ref="B39:E39"/>
    <mergeCell ref="B27:E27"/>
    <mergeCell ref="B13:B14"/>
  </mergeCells>
  <hyperlinks>
    <hyperlink ref="B23" location="'ERR &amp; Sensitivity Analysis'!A1" display="ERR &amp; Sensitivity Analysis"/>
    <hyperlink ref="B29" location="'ERR Electrification'!A1" display="ERR Electrification"/>
    <hyperlink ref="B38" location="Assumptions!A1" display="Assumptions"/>
    <hyperlink ref="B20" location="'Activity Description'!A1" display="Activity Description"/>
    <hyperlink ref="B32" location="'Solar Calculations'!A1" display="Solar Calculations"/>
    <hyperlink ref="B35" location="'Consumer Surplus'!A1" display="Consumer Surplus"/>
    <hyperlink ref="B26" location="'Cost-Benefit Summary'!A1" display="Cost- Benefit Summary"/>
    <hyperlink ref="B41" location="'Poverty Scorecard'!A1" display="Poverty Scorecard"/>
  </hyperlinks>
  <printOptions/>
  <pageMargins left="0.75" right="0.75" top="1" bottom="1" header="0.5" footer="0.5"/>
  <pageSetup fitToHeight="1" fitToWidth="1"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
    </sheetView>
  </sheetViews>
  <sheetFormatPr defaultColWidth="9.140625" defaultRowHeight="12.75"/>
  <cols>
    <col min="1" max="1" width="8.8515625" style="345" customWidth="1"/>
    <col min="2" max="2" width="0.85546875" style="345" customWidth="1"/>
    <col min="3" max="3" width="42.00390625" style="345" customWidth="1"/>
    <col min="4" max="4" width="12.140625" style="345" customWidth="1"/>
    <col min="5" max="5" width="0.9921875" style="345" customWidth="1"/>
    <col min="6" max="6" width="16.8515625" style="345" customWidth="1"/>
    <col min="7" max="7" width="16.421875" style="345" customWidth="1"/>
    <col min="8" max="9" width="11.7109375" style="345" customWidth="1"/>
    <col min="10" max="10" width="1.1484375" style="345" customWidth="1"/>
    <col min="11" max="12" width="9.140625" style="345" customWidth="1"/>
    <col min="13" max="13" width="11.140625" style="345" bestFit="1" customWidth="1"/>
    <col min="14" max="16384" width="9.140625" style="345" customWidth="1"/>
  </cols>
  <sheetData>
    <row r="1" spans="1:13" ht="15">
      <c r="A1" s="341"/>
      <c r="B1" s="342"/>
      <c r="C1" s="343"/>
      <c r="D1" s="342"/>
      <c r="E1" s="344"/>
      <c r="F1" s="343"/>
      <c r="G1" s="343"/>
      <c r="H1" s="343"/>
      <c r="I1" s="343"/>
      <c r="J1" s="342"/>
      <c r="K1" s="341"/>
      <c r="L1" s="341"/>
      <c r="M1" s="341"/>
    </row>
    <row r="2" spans="1:13" ht="15.75">
      <c r="A2" s="341"/>
      <c r="B2" s="342"/>
      <c r="C2" s="343"/>
      <c r="D2" s="342"/>
      <c r="E2" s="346"/>
      <c r="F2" s="343"/>
      <c r="G2" s="343"/>
      <c r="H2" s="343"/>
      <c r="I2" s="343"/>
      <c r="J2" s="342"/>
      <c r="K2" s="341"/>
      <c r="L2" s="341"/>
      <c r="M2" s="341"/>
    </row>
    <row r="3" spans="1:13" ht="15">
      <c r="A3" s="341"/>
      <c r="B3" s="344"/>
      <c r="C3" s="344"/>
      <c r="D3" s="342"/>
      <c r="E3" s="342"/>
      <c r="F3" s="342"/>
      <c r="G3" s="342"/>
      <c r="H3" s="342"/>
      <c r="I3" s="342"/>
      <c r="J3" s="342"/>
      <c r="K3" s="341"/>
      <c r="L3" s="341"/>
      <c r="M3" s="341"/>
    </row>
    <row r="4" spans="1:13" ht="20.25">
      <c r="A4" s="341"/>
      <c r="B4" s="344"/>
      <c r="C4" s="344"/>
      <c r="E4" s="347"/>
      <c r="F4" s="347"/>
      <c r="G4" s="347"/>
      <c r="H4" s="347"/>
      <c r="I4" s="347"/>
      <c r="J4" s="347"/>
      <c r="K4" s="341"/>
      <c r="L4" s="341"/>
      <c r="M4" s="341"/>
    </row>
    <row r="5" spans="1:13" ht="20.25">
      <c r="A5" s="341"/>
      <c r="B5" s="342"/>
      <c r="C5" s="343"/>
      <c r="D5" s="459" t="s">
        <v>219</v>
      </c>
      <c r="E5" s="460"/>
      <c r="F5" s="460"/>
      <c r="G5" s="460"/>
      <c r="H5" s="460"/>
      <c r="I5" s="460"/>
      <c r="J5" s="342"/>
      <c r="K5" s="341"/>
      <c r="L5" s="341"/>
      <c r="M5" s="341"/>
    </row>
    <row r="6" spans="1:13" ht="15.75">
      <c r="A6" s="341"/>
      <c r="B6" s="342"/>
      <c r="C6" s="343"/>
      <c r="D6" s="348"/>
      <c r="E6" s="349"/>
      <c r="F6" s="344"/>
      <c r="G6" s="350"/>
      <c r="H6" s="350"/>
      <c r="I6" s="350"/>
      <c r="J6" s="342"/>
      <c r="K6" s="341"/>
      <c r="L6" s="341"/>
      <c r="M6" s="341"/>
    </row>
    <row r="7" spans="1:13" ht="15.75">
      <c r="A7" s="341"/>
      <c r="B7" s="342"/>
      <c r="C7" s="461" t="s">
        <v>220</v>
      </c>
      <c r="D7" s="461"/>
      <c r="E7" s="461"/>
      <c r="F7" s="461"/>
      <c r="G7" s="461"/>
      <c r="H7" s="461"/>
      <c r="I7" s="461"/>
      <c r="J7" s="342"/>
      <c r="K7" s="341"/>
      <c r="L7" s="341"/>
      <c r="M7" s="341"/>
    </row>
    <row r="8" spans="1:13" ht="15.75" thickBot="1">
      <c r="A8" s="341"/>
      <c r="B8" s="342"/>
      <c r="C8" s="462" t="s">
        <v>221</v>
      </c>
      <c r="D8" s="462"/>
      <c r="E8" s="462"/>
      <c r="F8" s="462"/>
      <c r="G8" s="462"/>
      <c r="H8" s="462"/>
      <c r="I8" s="462"/>
      <c r="J8" s="342"/>
      <c r="K8" s="341"/>
      <c r="L8" s="341"/>
      <c r="M8" s="341"/>
    </row>
    <row r="9" spans="1:13" ht="15">
      <c r="A9" s="341"/>
      <c r="B9" s="351"/>
      <c r="C9" s="352"/>
      <c r="D9" s="353"/>
      <c r="E9" s="354"/>
      <c r="F9" s="354"/>
      <c r="G9" s="354"/>
      <c r="H9" s="354"/>
      <c r="I9" s="354"/>
      <c r="J9" s="355"/>
      <c r="K9" s="341"/>
      <c r="L9" s="341"/>
      <c r="M9" s="341"/>
    </row>
    <row r="10" spans="1:13" ht="15">
      <c r="A10" s="341"/>
      <c r="B10" s="356"/>
      <c r="C10" s="357" t="s">
        <v>222</v>
      </c>
      <c r="D10" s="358">
        <v>30.86</v>
      </c>
      <c r="E10" s="359"/>
      <c r="J10" s="360"/>
      <c r="K10" s="341"/>
      <c r="L10" s="341"/>
      <c r="M10" s="341"/>
    </row>
    <row r="11" spans="1:13" ht="15">
      <c r="A11" s="341"/>
      <c r="B11" s="356"/>
      <c r="C11" s="357" t="s">
        <v>223</v>
      </c>
      <c r="D11" s="361">
        <f>'ERR &amp; Sensitivity Analysis'!$D$19</f>
        <v>0.19545935863676278</v>
      </c>
      <c r="E11" s="359"/>
      <c r="F11" s="359"/>
      <c r="G11" s="359"/>
      <c r="H11" s="359"/>
      <c r="I11" s="359"/>
      <c r="J11" s="360"/>
      <c r="K11" s="341"/>
      <c r="L11" s="341"/>
      <c r="M11" s="341"/>
    </row>
    <row r="12" spans="1:13" ht="24">
      <c r="A12" s="341"/>
      <c r="B12" s="356"/>
      <c r="C12" s="357" t="s">
        <v>224</v>
      </c>
      <c r="D12" s="433">
        <v>39.91645964838738</v>
      </c>
      <c r="E12" s="359"/>
      <c r="F12" s="359"/>
      <c r="G12" s="359"/>
      <c r="H12" s="359"/>
      <c r="I12" s="359"/>
      <c r="J12" s="360"/>
      <c r="K12" s="341"/>
      <c r="L12" s="341"/>
      <c r="M12" s="341"/>
    </row>
    <row r="13" spans="1:13" ht="15">
      <c r="A13" s="341"/>
      <c r="B13" s="356"/>
      <c r="C13" s="362" t="s">
        <v>225</v>
      </c>
      <c r="D13" s="433">
        <v>25.04467784935214</v>
      </c>
      <c r="E13" s="362"/>
      <c r="G13" s="359"/>
      <c r="H13" s="359"/>
      <c r="I13" s="359"/>
      <c r="J13" s="360"/>
      <c r="K13" s="341"/>
      <c r="L13" s="341"/>
      <c r="M13" s="341"/>
    </row>
    <row r="14" spans="1:13" ht="15">
      <c r="A14" s="341"/>
      <c r="B14" s="356"/>
      <c r="C14" s="363"/>
      <c r="D14" s="364"/>
      <c r="E14" s="364"/>
      <c r="F14" s="463" t="s">
        <v>226</v>
      </c>
      <c r="G14" s="463"/>
      <c r="H14" s="463"/>
      <c r="I14" s="463"/>
      <c r="J14" s="360"/>
      <c r="K14" s="341"/>
      <c r="L14" s="341"/>
      <c r="M14" s="341"/>
    </row>
    <row r="15" spans="1:13" ht="15">
      <c r="A15" s="341"/>
      <c r="B15" s="356"/>
      <c r="C15" s="365" t="s">
        <v>227</v>
      </c>
      <c r="D15" s="366" t="s">
        <v>0</v>
      </c>
      <c r="E15" s="367"/>
      <c r="F15" s="366" t="s">
        <v>228</v>
      </c>
      <c r="G15" s="366" t="s">
        <v>229</v>
      </c>
      <c r="H15" s="366" t="s">
        <v>230</v>
      </c>
      <c r="I15" s="366" t="s">
        <v>231</v>
      </c>
      <c r="J15" s="360"/>
      <c r="K15" s="341"/>
      <c r="L15" s="341"/>
      <c r="M15" s="341"/>
    </row>
    <row r="16" spans="1:13" ht="15">
      <c r="A16" s="341"/>
      <c r="B16" s="356"/>
      <c r="C16" s="368"/>
      <c r="D16" s="369"/>
      <c r="E16" s="370"/>
      <c r="F16" s="369"/>
      <c r="G16" s="369"/>
      <c r="H16" s="369"/>
      <c r="I16" s="369"/>
      <c r="J16" s="360"/>
      <c r="K16" s="341"/>
      <c r="L16" s="341"/>
      <c r="M16" s="341"/>
    </row>
    <row r="17" spans="1:13" ht="15">
      <c r="A17" s="341"/>
      <c r="B17" s="356"/>
      <c r="C17" s="359" t="s">
        <v>232</v>
      </c>
      <c r="D17" s="371">
        <f>D18/4.41</f>
        <v>36455.78231292517</v>
      </c>
      <c r="E17" s="372"/>
      <c r="F17" s="373"/>
      <c r="G17" s="373"/>
      <c r="H17" s="373"/>
      <c r="I17" s="373"/>
      <c r="J17" s="360"/>
      <c r="K17" s="341"/>
      <c r="L17" s="341"/>
      <c r="M17" s="341"/>
    </row>
    <row r="18" spans="1:13" ht="15">
      <c r="A18" s="341"/>
      <c r="B18" s="356"/>
      <c r="C18" s="374" t="s">
        <v>233</v>
      </c>
      <c r="D18" s="371">
        <v>160770</v>
      </c>
      <c r="E18" s="372"/>
      <c r="F18" s="375"/>
      <c r="G18" s="375"/>
      <c r="H18" s="375"/>
      <c r="I18" s="375"/>
      <c r="J18" s="360"/>
      <c r="K18" s="341"/>
      <c r="L18" s="342"/>
      <c r="M18" s="341"/>
    </row>
    <row r="19" spans="1:13" ht="15">
      <c r="A19" s="341"/>
      <c r="B19" s="356"/>
      <c r="C19" s="374" t="s">
        <v>234</v>
      </c>
      <c r="D19" s="371">
        <v>6780000</v>
      </c>
      <c r="E19" s="372"/>
      <c r="F19" s="376"/>
      <c r="G19" s="376"/>
      <c r="H19" s="376"/>
      <c r="I19" s="376"/>
      <c r="J19" s="360"/>
      <c r="K19" s="341"/>
      <c r="L19" s="341"/>
      <c r="M19" s="341"/>
    </row>
    <row r="20" spans="1:13" ht="15">
      <c r="A20" s="341"/>
      <c r="B20" s="356"/>
      <c r="C20" s="374" t="s">
        <v>235</v>
      </c>
      <c r="D20" s="377"/>
      <c r="E20" s="372"/>
      <c r="F20" s="378">
        <v>0.3346</v>
      </c>
      <c r="G20" s="378">
        <v>0.6016</v>
      </c>
      <c r="H20" s="378">
        <v>0.2764</v>
      </c>
      <c r="I20" s="378">
        <v>0.122</v>
      </c>
      <c r="J20" s="379"/>
      <c r="K20" s="341"/>
      <c r="L20" s="341"/>
      <c r="M20" s="341"/>
    </row>
    <row r="21" spans="1:13" ht="15">
      <c r="A21" s="341"/>
      <c r="B21" s="356"/>
      <c r="C21" s="380" t="s">
        <v>236</v>
      </c>
      <c r="D21" s="381"/>
      <c r="E21" s="382"/>
      <c r="F21" s="383">
        <v>0.335</v>
      </c>
      <c r="G21" s="383">
        <v>0.6036</v>
      </c>
      <c r="H21" s="383">
        <v>0.2894</v>
      </c>
      <c r="I21" s="383">
        <v>0.10699999999999998</v>
      </c>
      <c r="J21" s="360"/>
      <c r="K21" s="341"/>
      <c r="L21" s="384"/>
      <c r="M21" s="341"/>
    </row>
    <row r="22" spans="1:13" ht="15">
      <c r="A22" s="341"/>
      <c r="B22" s="385"/>
      <c r="C22" s="386"/>
      <c r="D22" s="387"/>
      <c r="E22" s="388"/>
      <c r="F22" s="389"/>
      <c r="G22" s="390"/>
      <c r="H22" s="390"/>
      <c r="I22" s="390"/>
      <c r="J22" s="360"/>
      <c r="K22" s="341"/>
      <c r="L22" s="341"/>
      <c r="M22" s="341"/>
    </row>
    <row r="23" spans="1:13" ht="15">
      <c r="A23" s="341"/>
      <c r="B23" s="356"/>
      <c r="C23" s="365" t="s">
        <v>237</v>
      </c>
      <c r="D23" s="366"/>
      <c r="E23" s="367"/>
      <c r="F23" s="366"/>
      <c r="G23" s="366"/>
      <c r="H23" s="366"/>
      <c r="I23" s="366"/>
      <c r="J23" s="360"/>
      <c r="K23" s="341"/>
      <c r="L23" s="341"/>
      <c r="M23" s="391"/>
    </row>
    <row r="24" spans="1:13" ht="15">
      <c r="A24" s="341"/>
      <c r="B24" s="356"/>
      <c r="C24" s="392"/>
      <c r="D24" s="369"/>
      <c r="E24" s="370"/>
      <c r="F24" s="369"/>
      <c r="G24" s="369"/>
      <c r="H24" s="369"/>
      <c r="I24" s="369"/>
      <c r="J24" s="360"/>
      <c r="K24" s="341"/>
      <c r="L24" s="341"/>
      <c r="M24" s="341"/>
    </row>
    <row r="25" spans="1:13" ht="15">
      <c r="A25" s="341"/>
      <c r="B25" s="356"/>
      <c r="C25" s="374" t="s">
        <v>238</v>
      </c>
      <c r="D25" s="393">
        <f>SUMPRODUCT(G25:I25,G20:I20)</f>
        <v>258.9800112787453</v>
      </c>
      <c r="E25" s="394"/>
      <c r="F25" s="395">
        <v>258.98001127874534</v>
      </c>
      <c r="G25" s="395">
        <v>258.9800112787453</v>
      </c>
      <c r="H25" s="395">
        <v>258.98001127874534</v>
      </c>
      <c r="I25" s="395">
        <v>258.98001127874534</v>
      </c>
      <c r="J25" s="396"/>
      <c r="K25" s="384"/>
      <c r="L25" s="384"/>
      <c r="M25" s="384"/>
    </row>
    <row r="26" spans="1:13" ht="15">
      <c r="A26" s="341"/>
      <c r="B26" s="356"/>
      <c r="C26" s="397" t="s">
        <v>239</v>
      </c>
      <c r="D26" s="398">
        <f>SUMPRODUCT(G26:I26,G20:I20)</f>
        <v>0.6826931703641942</v>
      </c>
      <c r="E26" s="399"/>
      <c r="F26" s="383">
        <v>17.91009759880673</v>
      </c>
      <c r="G26" s="383">
        <v>1.0137390043221135</v>
      </c>
      <c r="H26" s="383">
        <v>0.23382510633881556</v>
      </c>
      <c r="I26" s="383">
        <v>0.06720103255706569</v>
      </c>
      <c r="J26" s="360"/>
      <c r="K26" s="400"/>
      <c r="L26" s="400"/>
      <c r="M26" s="400"/>
    </row>
    <row r="27" spans="1:13" ht="15">
      <c r="A27" s="341"/>
      <c r="B27" s="356"/>
      <c r="C27" s="401"/>
      <c r="D27" s="387"/>
      <c r="E27" s="402"/>
      <c r="F27" s="403"/>
      <c r="G27" s="403"/>
      <c r="H27" s="403"/>
      <c r="I27" s="403"/>
      <c r="J27" s="360"/>
      <c r="K27" s="341"/>
      <c r="L27" s="341"/>
      <c r="M27" s="341"/>
    </row>
    <row r="28" spans="1:13" ht="15">
      <c r="A28" s="341"/>
      <c r="B28" s="356"/>
      <c r="C28" s="365" t="s">
        <v>240</v>
      </c>
      <c r="D28" s="404"/>
      <c r="E28" s="405"/>
      <c r="F28" s="406"/>
      <c r="G28" s="406"/>
      <c r="H28" s="406"/>
      <c r="I28" s="406"/>
      <c r="J28" s="360"/>
      <c r="K28" s="341"/>
      <c r="L28" s="341"/>
      <c r="M28" s="341"/>
    </row>
    <row r="29" spans="1:13" ht="15">
      <c r="A29" s="341"/>
      <c r="B29" s="356"/>
      <c r="C29" s="363"/>
      <c r="D29" s="407"/>
      <c r="E29" s="408"/>
      <c r="F29" s="409"/>
      <c r="G29" s="409"/>
      <c r="H29" s="409"/>
      <c r="I29" s="409"/>
      <c r="J29" s="360"/>
      <c r="K29" s="341"/>
      <c r="L29" s="341"/>
      <c r="M29" s="341"/>
    </row>
    <row r="30" spans="1:13" ht="15">
      <c r="A30" s="341"/>
      <c r="B30" s="356"/>
      <c r="C30" s="380" t="s">
        <v>241</v>
      </c>
      <c r="D30" s="410">
        <f>D12/D13</f>
        <v>1.5938100656950533</v>
      </c>
      <c r="E30" s="411"/>
      <c r="F30" s="412">
        <f>F20*$D$18*F25/($D$13*1000000)</f>
        <v>0.5562650115000449</v>
      </c>
      <c r="G30" s="412">
        <f>G20*$D$18*G25/($D$13*1000000)</f>
        <v>1.0001465359187895</v>
      </c>
      <c r="H30" s="412">
        <f>H20*$D$18*H25/($D$13*1000000)</f>
        <v>0.45950881404247584</v>
      </c>
      <c r="I30" s="412">
        <f>I20*$D$18*I25/($D$13*1000000)</f>
        <v>0.20282226958459498</v>
      </c>
      <c r="J30" s="413"/>
      <c r="K30" s="384"/>
      <c r="L30" s="414"/>
      <c r="M30" s="384"/>
    </row>
    <row r="31" spans="1:13" ht="15">
      <c r="A31" s="341"/>
      <c r="B31" s="356"/>
      <c r="C31" s="401"/>
      <c r="D31" s="387"/>
      <c r="E31" s="402"/>
      <c r="F31" s="403"/>
      <c r="G31" s="403"/>
      <c r="H31" s="403"/>
      <c r="I31" s="403"/>
      <c r="J31" s="360"/>
      <c r="K31" s="341"/>
      <c r="L31" s="341"/>
      <c r="M31" s="341"/>
    </row>
    <row r="32" spans="1:13" ht="15">
      <c r="A32" s="341"/>
      <c r="B32" s="356"/>
      <c r="C32" s="374" t="s">
        <v>242</v>
      </c>
      <c r="D32" s="415">
        <v>3380</v>
      </c>
      <c r="E32" s="359"/>
      <c r="F32" s="359"/>
      <c r="G32" s="359"/>
      <c r="H32" s="359"/>
      <c r="I32" s="359"/>
      <c r="J32" s="360"/>
      <c r="K32" s="341"/>
      <c r="L32" s="416"/>
      <c r="M32" s="416"/>
    </row>
    <row r="33" spans="1:13" ht="15" customHeight="1">
      <c r="A33" s="341"/>
      <c r="B33" s="356"/>
      <c r="C33" s="417" t="s">
        <v>243</v>
      </c>
      <c r="D33" s="418">
        <v>6153000</v>
      </c>
      <c r="E33" s="419"/>
      <c r="F33" s="419"/>
      <c r="G33" s="419"/>
      <c r="H33" s="419"/>
      <c r="I33" s="419"/>
      <c r="J33" s="360"/>
      <c r="K33" s="341"/>
      <c r="L33" s="341"/>
      <c r="M33" s="341"/>
    </row>
    <row r="34" spans="1:13" ht="3.75" customHeight="1">
      <c r="A34" s="341"/>
      <c r="B34" s="356"/>
      <c r="C34" s="374"/>
      <c r="D34" s="420"/>
      <c r="E34" s="359"/>
      <c r="F34" s="359"/>
      <c r="G34" s="359"/>
      <c r="H34" s="359"/>
      <c r="I34" s="359"/>
      <c r="J34" s="360"/>
      <c r="K34" s="341"/>
      <c r="L34" s="421"/>
      <c r="M34" s="422"/>
    </row>
    <row r="35" spans="1:13" ht="15">
      <c r="A35" s="341"/>
      <c r="B35" s="356"/>
      <c r="C35" s="423" t="s">
        <v>244</v>
      </c>
      <c r="D35" s="424"/>
      <c r="E35" s="359"/>
      <c r="F35" s="425"/>
      <c r="G35" s="425"/>
      <c r="H35" s="425"/>
      <c r="I35" s="425"/>
      <c r="J35" s="360"/>
      <c r="K35" s="341"/>
      <c r="L35" s="421"/>
      <c r="M35" s="422"/>
    </row>
    <row r="36" spans="1:13" ht="15">
      <c r="A36" s="341"/>
      <c r="B36" s="356"/>
      <c r="C36" s="426" t="s">
        <v>245</v>
      </c>
      <c r="D36" s="424"/>
      <c r="E36" s="359"/>
      <c r="F36" s="425"/>
      <c r="G36" s="425"/>
      <c r="H36" s="425"/>
      <c r="I36" s="425"/>
      <c r="J36" s="360"/>
      <c r="K36" s="341"/>
      <c r="L36" s="341"/>
      <c r="M36" s="341"/>
    </row>
    <row r="37" spans="1:13" ht="15">
      <c r="A37" s="341"/>
      <c r="B37" s="356"/>
      <c r="C37" s="426" t="s">
        <v>246</v>
      </c>
      <c r="D37" s="424"/>
      <c r="E37" s="359"/>
      <c r="F37" s="425"/>
      <c r="G37" s="425"/>
      <c r="H37" s="425"/>
      <c r="I37" s="425"/>
      <c r="J37" s="360"/>
      <c r="K37" s="341"/>
      <c r="L37" s="341"/>
      <c r="M37" s="341"/>
    </row>
    <row r="38" spans="1:13" ht="15">
      <c r="A38" s="341"/>
      <c r="B38" s="356"/>
      <c r="C38" s="426" t="s">
        <v>247</v>
      </c>
      <c r="D38" s="343"/>
      <c r="E38" s="343"/>
      <c r="F38" s="343"/>
      <c r="G38" s="343"/>
      <c r="H38" s="343"/>
      <c r="I38" s="343"/>
      <c r="J38" s="360"/>
      <c r="K38" s="341"/>
      <c r="L38" s="341"/>
      <c r="M38" s="341"/>
    </row>
    <row r="39" spans="1:13" ht="15">
      <c r="A39" s="427"/>
      <c r="B39" s="356"/>
      <c r="C39" s="428" t="s">
        <v>248</v>
      </c>
      <c r="D39" s="343"/>
      <c r="E39" s="343"/>
      <c r="F39" s="343"/>
      <c r="G39" s="343"/>
      <c r="H39" s="343"/>
      <c r="I39" s="343"/>
      <c r="J39" s="360"/>
      <c r="K39" s="427"/>
      <c r="L39" s="427"/>
      <c r="M39" s="427"/>
    </row>
    <row r="40" spans="1:13" ht="15.75" thickBot="1">
      <c r="A40" s="427"/>
      <c r="B40" s="429"/>
      <c r="C40" s="430" t="s">
        <v>249</v>
      </c>
      <c r="D40" s="431"/>
      <c r="E40" s="431"/>
      <c r="F40" s="431"/>
      <c r="G40" s="431"/>
      <c r="H40" s="431"/>
      <c r="I40" s="431"/>
      <c r="J40" s="432"/>
      <c r="K40" s="427"/>
      <c r="L40" s="427"/>
      <c r="M40" s="427"/>
    </row>
    <row r="41" spans="1:13" ht="15">
      <c r="A41" s="341"/>
      <c r="B41" s="343"/>
      <c r="C41" s="342"/>
      <c r="D41" s="342"/>
      <c r="E41" s="342"/>
      <c r="F41" s="342"/>
      <c r="G41" s="342"/>
      <c r="H41" s="342"/>
      <c r="I41" s="342"/>
      <c r="J41" s="342"/>
      <c r="K41" s="341"/>
      <c r="L41" s="341"/>
      <c r="M41" s="341"/>
    </row>
    <row r="42" spans="1:13" ht="15">
      <c r="A42" s="341"/>
      <c r="B42" s="342"/>
      <c r="C42" s="342"/>
      <c r="D42" s="342"/>
      <c r="E42" s="342"/>
      <c r="F42" s="342"/>
      <c r="G42" s="342"/>
      <c r="H42" s="342"/>
      <c r="I42" s="342"/>
      <c r="J42" s="342"/>
      <c r="K42" s="341"/>
      <c r="L42" s="341"/>
      <c r="M42" s="341"/>
    </row>
    <row r="43" spans="1:13" ht="15">
      <c r="A43" s="341"/>
      <c r="B43" s="342"/>
      <c r="C43" s="342"/>
      <c r="D43" s="342"/>
      <c r="E43" s="342"/>
      <c r="F43" s="342"/>
      <c r="G43" s="342"/>
      <c r="H43" s="342"/>
      <c r="I43" s="342"/>
      <c r="J43" s="342"/>
      <c r="K43" s="341"/>
      <c r="L43" s="341"/>
      <c r="M43" s="341"/>
    </row>
    <row r="44" spans="1:13" ht="15">
      <c r="A44" s="341"/>
      <c r="B44" s="342"/>
      <c r="C44" s="342"/>
      <c r="D44" s="342"/>
      <c r="E44" s="342"/>
      <c r="F44" s="342"/>
      <c r="G44" s="342"/>
      <c r="H44" s="342"/>
      <c r="I44" s="342"/>
      <c r="J44" s="342"/>
      <c r="K44" s="341"/>
      <c r="L44" s="341"/>
      <c r="M44" s="341"/>
    </row>
    <row r="45" spans="1:13" ht="15">
      <c r="A45" s="341"/>
      <c r="B45" s="342"/>
      <c r="C45" s="342"/>
      <c r="D45" s="342"/>
      <c r="E45" s="342"/>
      <c r="F45" s="342"/>
      <c r="G45" s="342"/>
      <c r="H45" s="342"/>
      <c r="I45" s="342"/>
      <c r="J45" s="342"/>
      <c r="K45" s="341"/>
      <c r="L45" s="341"/>
      <c r="M45" s="341"/>
    </row>
    <row r="46" spans="1:13" ht="15">
      <c r="A46" s="341"/>
      <c r="B46" s="342"/>
      <c r="C46" s="342"/>
      <c r="D46" s="342"/>
      <c r="E46" s="342"/>
      <c r="F46" s="342"/>
      <c r="G46" s="342"/>
      <c r="H46" s="342"/>
      <c r="I46" s="342"/>
      <c r="J46" s="342"/>
      <c r="K46" s="341"/>
      <c r="L46" s="341"/>
      <c r="M46" s="341"/>
    </row>
    <row r="47" spans="1:13" ht="15">
      <c r="A47" s="341"/>
      <c r="B47" s="342"/>
      <c r="C47" s="342"/>
      <c r="D47" s="342"/>
      <c r="E47" s="342"/>
      <c r="F47" s="342"/>
      <c r="G47" s="342"/>
      <c r="H47" s="342"/>
      <c r="I47" s="342"/>
      <c r="J47" s="342"/>
      <c r="K47" s="341"/>
      <c r="L47" s="341"/>
      <c r="M47" s="341"/>
    </row>
  </sheetData>
  <sheetProtection/>
  <mergeCells count="4">
    <mergeCell ref="D5:I5"/>
    <mergeCell ref="C7:I7"/>
    <mergeCell ref="C8:I8"/>
    <mergeCell ref="F14:I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2:E36"/>
  <sheetViews>
    <sheetView showGridLines="0" zoomScalePageLayoutView="0" workbookViewId="0" topLeftCell="A1">
      <selection activeCell="A1" sqref="A1"/>
    </sheetView>
  </sheetViews>
  <sheetFormatPr defaultColWidth="9.140625" defaultRowHeight="12.75"/>
  <cols>
    <col min="1" max="1" width="7.7109375" style="4" customWidth="1"/>
    <col min="2" max="2" width="106.28125" style="4" customWidth="1"/>
    <col min="3" max="16384" width="9.140625" style="4" customWidth="1"/>
  </cols>
  <sheetData>
    <row r="2" ht="19.5" customHeight="1">
      <c r="B2" s="50" t="s">
        <v>33</v>
      </c>
    </row>
    <row r="4" ht="18">
      <c r="B4" s="51" t="s">
        <v>79</v>
      </c>
    </row>
    <row r="5" ht="12.75" customHeight="1">
      <c r="A5" s="51"/>
    </row>
    <row r="6" spans="1:2" ht="12.75" customHeight="1">
      <c r="A6" s="51"/>
      <c r="B6" s="57" t="s">
        <v>60</v>
      </c>
    </row>
    <row r="7" ht="6.75" customHeight="1"/>
    <row r="8" spans="1:2" ht="69" customHeight="1">
      <c r="A8" s="52"/>
      <c r="B8" s="159" t="s">
        <v>148</v>
      </c>
    </row>
    <row r="9" spans="1:2" ht="12.75">
      <c r="A9" s="52"/>
      <c r="B9" s="53"/>
    </row>
    <row r="10" spans="1:2" ht="12.75">
      <c r="A10" s="52"/>
      <c r="B10" s="58" t="s">
        <v>61</v>
      </c>
    </row>
    <row r="11" spans="1:2" ht="6.75" customHeight="1">
      <c r="A11" s="52"/>
      <c r="B11" s="53"/>
    </row>
    <row r="12" spans="1:2" ht="12.75">
      <c r="A12" s="52"/>
      <c r="B12" s="54" t="s">
        <v>80</v>
      </c>
    </row>
    <row r="13" spans="1:2" ht="6.75" customHeight="1">
      <c r="A13" s="52"/>
      <c r="B13" s="54"/>
    </row>
    <row r="14" spans="1:2" ht="14.25" customHeight="1">
      <c r="A14" s="52"/>
      <c r="B14" s="160" t="s">
        <v>74</v>
      </c>
    </row>
    <row r="15" spans="1:2" ht="27" customHeight="1">
      <c r="A15" s="52"/>
      <c r="B15" s="160" t="s">
        <v>155</v>
      </c>
    </row>
    <row r="16" spans="1:2" ht="15" customHeight="1">
      <c r="A16" s="52"/>
      <c r="B16" s="160" t="s">
        <v>156</v>
      </c>
    </row>
    <row r="17" spans="1:2" ht="15" customHeight="1">
      <c r="A17" s="52"/>
      <c r="B17" s="160" t="s">
        <v>75</v>
      </c>
    </row>
    <row r="18" spans="1:2" ht="27.75" customHeight="1">
      <c r="A18" s="52"/>
      <c r="B18" s="160" t="s">
        <v>149</v>
      </c>
    </row>
    <row r="19" spans="1:2" ht="27" customHeight="1">
      <c r="A19" s="52"/>
      <c r="B19" s="160" t="s">
        <v>76</v>
      </c>
    </row>
    <row r="20" spans="1:2" ht="12.75">
      <c r="A20" s="56"/>
      <c r="B20" s="55"/>
    </row>
    <row r="21" spans="1:2" ht="12.75">
      <c r="A21" s="56"/>
      <c r="B21" s="59" t="s">
        <v>62</v>
      </c>
    </row>
    <row r="22" spans="1:2" ht="6.75" customHeight="1">
      <c r="A22" s="56"/>
      <c r="B22" s="55"/>
    </row>
    <row r="23" spans="1:2" ht="90.75" customHeight="1">
      <c r="A23" s="52"/>
      <c r="B23" s="203" t="s">
        <v>176</v>
      </c>
    </row>
    <row r="26" spans="2:3" ht="12.75">
      <c r="B26" s="201" t="s">
        <v>141</v>
      </c>
      <c r="C26" s="202">
        <v>41091</v>
      </c>
    </row>
    <row r="27" ht="12.75"/>
    <row r="32" ht="12.75">
      <c r="E32" s="73"/>
    </row>
    <row r="33" ht="12.75">
      <c r="E33" s="73"/>
    </row>
    <row r="35" spans="4:5" ht="12.75">
      <c r="D35" s="73"/>
      <c r="E35" s="73"/>
    </row>
    <row r="36" ht="12.75">
      <c r="E36" s="73"/>
    </row>
  </sheetData>
  <sheetProtection/>
  <printOptions/>
  <pageMargins left="0.49" right="0.75" top="1" bottom="1" header="0.5" footer="0.5"/>
  <pageSetup fitToHeight="1" fitToWidth="1"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2:I54"/>
  <sheetViews>
    <sheetView showGridLines="0" zoomScalePageLayoutView="0" workbookViewId="0" topLeftCell="A1">
      <selection activeCell="A1" sqref="A1"/>
    </sheetView>
  </sheetViews>
  <sheetFormatPr defaultColWidth="9.140625" defaultRowHeight="12.75"/>
  <cols>
    <col min="1" max="1" width="7.8515625" style="8" customWidth="1"/>
    <col min="2" max="2" width="18.8515625" style="8" customWidth="1"/>
    <col min="3" max="3" width="54.8515625" style="8" customWidth="1"/>
    <col min="4" max="4" width="13.7109375" style="8" customWidth="1"/>
    <col min="5" max="5" width="13.421875" style="8" customWidth="1"/>
    <col min="6" max="6" width="13.7109375" style="8" customWidth="1"/>
    <col min="7" max="7" width="15.28125" style="8" customWidth="1"/>
    <col min="8" max="8" width="5.7109375" style="8" customWidth="1"/>
    <col min="9" max="9" width="20.8515625" style="8" customWidth="1"/>
    <col min="10" max="16384" width="9.140625" style="8" customWidth="1"/>
  </cols>
  <sheetData>
    <row r="1" ht="12.75" customHeight="1"/>
    <row r="2" spans="2:6" ht="23.25">
      <c r="B2" s="6" t="s">
        <v>33</v>
      </c>
      <c r="D2" s="6"/>
      <c r="E2" s="7"/>
      <c r="F2" s="330" t="s">
        <v>215</v>
      </c>
    </row>
    <row r="3" ht="12.75">
      <c r="F3" s="204"/>
    </row>
    <row r="4" spans="2:4" ht="18">
      <c r="B4" s="9" t="s">
        <v>42</v>
      </c>
      <c r="D4" s="9"/>
    </row>
    <row r="6" spans="2:7" ht="39.75" customHeight="1">
      <c r="B6" s="447" t="s">
        <v>71</v>
      </c>
      <c r="C6" s="447"/>
      <c r="D6" s="447"/>
      <c r="E6" s="447"/>
      <c r="F6" s="447"/>
      <c r="G6" s="447"/>
    </row>
    <row r="7" spans="3:7" ht="12.75">
      <c r="C7" s="34"/>
      <c r="D7" s="34"/>
      <c r="E7" s="34"/>
      <c r="F7" s="34"/>
      <c r="G7" s="34"/>
    </row>
    <row r="8" spans="2:7" ht="15.75">
      <c r="B8" s="448" t="s">
        <v>73</v>
      </c>
      <c r="C8" s="448" t="s">
        <v>43</v>
      </c>
      <c r="D8" s="451" t="s">
        <v>44</v>
      </c>
      <c r="E8" s="452"/>
      <c r="F8" s="452"/>
      <c r="G8" s="453"/>
    </row>
    <row r="9" spans="2:9" ht="39" thickBot="1">
      <c r="B9" s="449"/>
      <c r="C9" s="449"/>
      <c r="D9" s="60" t="s">
        <v>68</v>
      </c>
      <c r="E9" s="41" t="s">
        <v>67</v>
      </c>
      <c r="F9" s="42" t="s">
        <v>81</v>
      </c>
      <c r="G9" s="41" t="s">
        <v>45</v>
      </c>
      <c r="I9" s="43" t="s">
        <v>69</v>
      </c>
    </row>
    <row r="10" spans="2:9" ht="38.25" customHeight="1">
      <c r="B10" s="38" t="s">
        <v>60</v>
      </c>
      <c r="C10" s="33" t="s">
        <v>63</v>
      </c>
      <c r="D10" s="46">
        <v>1</v>
      </c>
      <c r="E10" s="40">
        <v>1</v>
      </c>
      <c r="F10" s="32" t="s">
        <v>70</v>
      </c>
      <c r="G10" s="47">
        <f>D10</f>
        <v>1</v>
      </c>
      <c r="I10" s="331" t="str">
        <f>IF(D10=E10,IF(D11=E11,"Y","N"),"N")</f>
        <v>Y</v>
      </c>
    </row>
    <row r="11" spans="2:7" ht="38.25" customHeight="1">
      <c r="B11" s="38" t="s">
        <v>60</v>
      </c>
      <c r="C11" s="33" t="s">
        <v>64</v>
      </c>
      <c r="D11" s="46">
        <v>1</v>
      </c>
      <c r="E11" s="40">
        <v>1</v>
      </c>
      <c r="F11" s="32" t="s">
        <v>70</v>
      </c>
      <c r="G11" s="47">
        <f>D11</f>
        <v>1</v>
      </c>
    </row>
    <row r="12" spans="2:9" ht="25.5" customHeight="1">
      <c r="B12" s="35"/>
      <c r="C12" s="36"/>
      <c r="D12" s="37"/>
      <c r="E12" s="37"/>
      <c r="F12" s="37"/>
      <c r="G12" s="44"/>
      <c r="I12" s="205" t="s">
        <v>177</v>
      </c>
    </row>
    <row r="13" spans="2:9" ht="30.75" customHeight="1">
      <c r="B13" s="22" t="s">
        <v>65</v>
      </c>
      <c r="C13" s="153" t="s">
        <v>152</v>
      </c>
      <c r="D13" s="64">
        <v>84</v>
      </c>
      <c r="E13" s="65">
        <v>84</v>
      </c>
      <c r="F13" s="158" t="s">
        <v>144</v>
      </c>
      <c r="G13" s="206">
        <f>IF($I$10="Y",D13,E13)</f>
        <v>84</v>
      </c>
      <c r="I13" s="331" t="str">
        <f>IF(D13=E13,IF(D14=E14,IF(D15=E15,IF(D16=E16,"Y","N"),"N"),"N"),"N")</f>
        <v>Y</v>
      </c>
    </row>
    <row r="14" spans="2:7" ht="33" customHeight="1">
      <c r="B14" s="22" t="s">
        <v>65</v>
      </c>
      <c r="C14" s="38" t="s">
        <v>66</v>
      </c>
      <c r="D14" s="66">
        <v>0.1</v>
      </c>
      <c r="E14" s="67">
        <v>0.1</v>
      </c>
      <c r="F14" s="154" t="s">
        <v>150</v>
      </c>
      <c r="G14" s="48">
        <f>IF($I$10="Y",D14,E14)</f>
        <v>0.1</v>
      </c>
    </row>
    <row r="15" spans="2:9" ht="33" customHeight="1">
      <c r="B15" s="22" t="s">
        <v>65</v>
      </c>
      <c r="C15" s="153" t="s">
        <v>139</v>
      </c>
      <c r="D15" s="66">
        <v>0.44</v>
      </c>
      <c r="E15" s="67">
        <v>0.44</v>
      </c>
      <c r="F15" s="154" t="s">
        <v>151</v>
      </c>
      <c r="G15" s="48">
        <f>D15</f>
        <v>0.44</v>
      </c>
      <c r="I15" s="49" t="s">
        <v>72</v>
      </c>
    </row>
    <row r="16" spans="2:9" ht="33" customHeight="1">
      <c r="B16" s="212" t="s">
        <v>65</v>
      </c>
      <c r="C16" s="39" t="s">
        <v>114</v>
      </c>
      <c r="D16" s="149">
        <v>0.5</v>
      </c>
      <c r="E16" s="150">
        <v>0.5</v>
      </c>
      <c r="F16" s="151" t="s">
        <v>115</v>
      </c>
      <c r="G16" s="152">
        <f>IF($I$10="Y",D16,E16)</f>
        <v>0.5</v>
      </c>
      <c r="I16" s="207" t="s">
        <v>79</v>
      </c>
    </row>
    <row r="17" ht="33" customHeight="1">
      <c r="I17" s="208" t="s">
        <v>178</v>
      </c>
    </row>
    <row r="18" spans="2:7" ht="31.5" customHeight="1">
      <c r="B18" s="454">
        <f>IF(I10="N",IF(I13="N","Reminder: Please reset all summary parameters to original values before changing specific parameters.  Specific parameters will only be used in ERR computation when all summary parameters are set to initial values",0),0)</f>
        <v>0</v>
      </c>
      <c r="C18" s="454"/>
      <c r="D18" s="454"/>
      <c r="E18" s="454"/>
      <c r="F18" s="454"/>
      <c r="G18" s="454"/>
    </row>
    <row r="19" spans="3:5" ht="12.75">
      <c r="C19" s="5" t="s">
        <v>46</v>
      </c>
      <c r="D19" s="61">
        <f>'ERR Electrification'!D39</f>
        <v>0.19545935863676278</v>
      </c>
      <c r="E19" s="10" t="s">
        <v>85</v>
      </c>
    </row>
    <row r="20" ht="12.75">
      <c r="E20" s="10"/>
    </row>
    <row r="21" spans="3:7" ht="12.75">
      <c r="C21" s="139" t="s">
        <v>132</v>
      </c>
      <c r="D21" s="140"/>
      <c r="E21" s="141" t="s">
        <v>133</v>
      </c>
      <c r="F21" s="141" t="s">
        <v>134</v>
      </c>
      <c r="G21" s="209" t="s">
        <v>135</v>
      </c>
    </row>
    <row r="22" spans="3:7" ht="12.75">
      <c r="C22" s="139"/>
      <c r="D22" s="142" t="s">
        <v>103</v>
      </c>
      <c r="E22" s="143">
        <v>0.24</v>
      </c>
      <c r="F22" s="143">
        <v>0.162</v>
      </c>
      <c r="G22" s="210">
        <f>D19</f>
        <v>0.19545935863676278</v>
      </c>
    </row>
    <row r="23" spans="3:7" ht="12.75">
      <c r="C23" s="144"/>
      <c r="D23" s="142" t="s">
        <v>54</v>
      </c>
      <c r="E23" s="145">
        <v>38960</v>
      </c>
      <c r="F23" s="145">
        <v>40409</v>
      </c>
      <c r="G23" s="211">
        <f>'User''s Guide'!E10</f>
        <v>41091</v>
      </c>
    </row>
    <row r="25" spans="3:5" s="144" customFormat="1" ht="12.75">
      <c r="C25" s="236" t="s">
        <v>188</v>
      </c>
      <c r="D25" s="237">
        <f>'Cost-Benefit Summary'!C16</f>
        <v>42194989.05749194</v>
      </c>
      <c r="E25" s="434" t="s">
        <v>251</v>
      </c>
    </row>
    <row r="26" spans="3:4" s="144" customFormat="1" ht="12.75">
      <c r="C26" s="236"/>
      <c r="D26" s="238"/>
    </row>
    <row r="27" spans="3:5" s="144" customFormat="1" ht="12.75">
      <c r="C27" s="236" t="s">
        <v>189</v>
      </c>
      <c r="D27" s="237">
        <f>'Cost-Benefit Summary'!C17</f>
        <v>26474289.48134476</v>
      </c>
      <c r="E27" s="434" t="s">
        <v>251</v>
      </c>
    </row>
    <row r="28" spans="3:4" s="144" customFormat="1" ht="12.75">
      <c r="C28" s="236"/>
      <c r="D28" s="239"/>
    </row>
    <row r="54" spans="3:7" ht="30" customHeight="1">
      <c r="C54" s="450" t="s">
        <v>86</v>
      </c>
      <c r="D54" s="450"/>
      <c r="E54" s="450"/>
      <c r="F54" s="450"/>
      <c r="G54" s="450"/>
    </row>
  </sheetData>
  <sheetProtection/>
  <mergeCells count="6">
    <mergeCell ref="B6:G6"/>
    <mergeCell ref="B8:B9"/>
    <mergeCell ref="C54:G54"/>
    <mergeCell ref="C8:C9"/>
    <mergeCell ref="D8:G8"/>
    <mergeCell ref="B18:G18"/>
  </mergeCells>
  <conditionalFormatting sqref="B18">
    <cfRule type="cellIs" priority="1" dxfId="1" operator="equal" stopIfTrue="1">
      <formula>0</formula>
    </cfRule>
    <cfRule type="cellIs" priority="2" dxfId="0" operator="notEqual" stopIfTrue="1">
      <formula>0</formula>
    </cfRule>
  </conditionalFormatting>
  <hyperlinks>
    <hyperlink ref="I16" location="'Activity Description'!A1" display="Activity Description"/>
    <hyperlink ref="I17" location="'User''s Guide'!A1" display="User's Guide"/>
  </hyperlinks>
  <printOptions/>
  <pageMargins left="1.79" right="0.75" top="0.5" bottom="0.5" header="0.5" footer="0.5"/>
  <pageSetup fitToHeight="1" fitToWidth="1" horizontalDpi="600" verticalDpi="600" orientation="landscape" scale="46" r:id="rId4"/>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11"/>
  <dimension ref="B1:Z18"/>
  <sheetViews>
    <sheetView zoomScalePageLayoutView="0" workbookViewId="0" topLeftCell="A1">
      <selection activeCell="A1" sqref="A1"/>
    </sheetView>
  </sheetViews>
  <sheetFormatPr defaultColWidth="9.140625" defaultRowHeight="12.75"/>
  <cols>
    <col min="1" max="1" width="7.7109375" style="224" customWidth="1"/>
    <col min="2" max="2" width="40.7109375" style="224" customWidth="1"/>
    <col min="3" max="3" width="13.421875" style="224" customWidth="1"/>
    <col min="4" max="4" width="13.8515625" style="224" bestFit="1" customWidth="1"/>
    <col min="5" max="5" width="9.00390625" style="224" bestFit="1" customWidth="1"/>
    <col min="6" max="6" width="10.140625" style="224" bestFit="1" customWidth="1"/>
    <col min="7" max="7" width="9.00390625" style="224" bestFit="1" customWidth="1"/>
    <col min="8" max="8" width="9.7109375" style="224" customWidth="1"/>
    <col min="9" max="9" width="9.00390625" style="224" customWidth="1"/>
    <col min="10" max="23" width="8.421875" style="224" bestFit="1" customWidth="1"/>
    <col min="24" max="16384" width="9.140625" style="224" customWidth="1"/>
  </cols>
  <sheetData>
    <row r="1" spans="7:17" s="215" customFormat="1" ht="12.75" customHeight="1">
      <c r="G1" s="213"/>
      <c r="H1" s="213"/>
      <c r="J1" s="213"/>
      <c r="L1" s="216"/>
      <c r="O1" s="217"/>
      <c r="P1" s="218"/>
      <c r="Q1" s="218"/>
    </row>
    <row r="2" spans="2:26" s="215" customFormat="1" ht="26.25" customHeight="1">
      <c r="B2" s="219" t="s">
        <v>33</v>
      </c>
      <c r="C2" s="219"/>
      <c r="D2" s="220"/>
      <c r="E2" s="220"/>
      <c r="F2" s="220"/>
      <c r="G2" s="220"/>
      <c r="J2" s="214" t="s">
        <v>183</v>
      </c>
      <c r="P2" s="218"/>
      <c r="Q2" s="218"/>
      <c r="S2" s="221"/>
      <c r="T2" s="221"/>
      <c r="U2" s="221"/>
      <c r="V2" s="221"/>
      <c r="W2" s="221"/>
      <c r="X2" s="221"/>
      <c r="Y2" s="221"/>
      <c r="Z2" s="221"/>
    </row>
    <row r="3" spans="2:26" s="215" customFormat="1" ht="27" customHeight="1">
      <c r="B3" s="9" t="s">
        <v>217</v>
      </c>
      <c r="C3" s="455">
        <f>IF('ERR &amp; Sensitivity Analysis'!$I$10="N","Note: Current calculations are based on user input and are not the original MCC estimates.",IF('ERR &amp; Sensitivity Analysis'!$I$13="N","Note: Current calculations are based on user input and are not the original MCC estimates.",0))</f>
        <v>0</v>
      </c>
      <c r="D3" s="455"/>
      <c r="E3" s="455"/>
      <c r="F3" s="455"/>
      <c r="G3" s="455"/>
      <c r="P3" s="218"/>
      <c r="Q3" s="218"/>
      <c r="S3" s="221"/>
      <c r="T3" s="221"/>
      <c r="U3" s="221"/>
      <c r="V3" s="221"/>
      <c r="W3" s="221"/>
      <c r="X3" s="221"/>
      <c r="Y3" s="221"/>
      <c r="Z3" s="221"/>
    </row>
    <row r="4" spans="2:4" s="223" customFormat="1" ht="12.75">
      <c r="B4" s="216"/>
      <c r="C4" s="216"/>
      <c r="D4" s="222"/>
    </row>
    <row r="5" spans="3:4" ht="21" customHeight="1">
      <c r="C5" s="225" t="s">
        <v>0</v>
      </c>
      <c r="D5" s="225" t="s">
        <v>179</v>
      </c>
    </row>
    <row r="6" spans="2:25" s="225" customFormat="1" ht="12.75">
      <c r="B6" s="226" t="s">
        <v>185</v>
      </c>
      <c r="C6" s="226"/>
      <c r="D6" s="226">
        <v>1</v>
      </c>
      <c r="E6" s="226">
        <f>D6+1</f>
        <v>2</v>
      </c>
      <c r="F6" s="226">
        <f aca="true" t="shared" si="0" ref="F6:W6">E6+1</f>
        <v>3</v>
      </c>
      <c r="G6" s="226">
        <f t="shared" si="0"/>
        <v>4</v>
      </c>
      <c r="H6" s="226">
        <f t="shared" si="0"/>
        <v>5</v>
      </c>
      <c r="I6" s="226">
        <f t="shared" si="0"/>
        <v>6</v>
      </c>
      <c r="J6" s="226">
        <f t="shared" si="0"/>
        <v>7</v>
      </c>
      <c r="K6" s="226">
        <f t="shared" si="0"/>
        <v>8</v>
      </c>
      <c r="L6" s="226">
        <f t="shared" si="0"/>
        <v>9</v>
      </c>
      <c r="M6" s="226">
        <f t="shared" si="0"/>
        <v>10</v>
      </c>
      <c r="N6" s="226">
        <f t="shared" si="0"/>
        <v>11</v>
      </c>
      <c r="O6" s="226">
        <f t="shared" si="0"/>
        <v>12</v>
      </c>
      <c r="P6" s="226">
        <f t="shared" si="0"/>
        <v>13</v>
      </c>
      <c r="Q6" s="226">
        <f t="shared" si="0"/>
        <v>14</v>
      </c>
      <c r="R6" s="226">
        <f t="shared" si="0"/>
        <v>15</v>
      </c>
      <c r="S6" s="226">
        <f t="shared" si="0"/>
        <v>16</v>
      </c>
      <c r="T6" s="226">
        <f t="shared" si="0"/>
        <v>17</v>
      </c>
      <c r="U6" s="226">
        <f t="shared" si="0"/>
        <v>18</v>
      </c>
      <c r="V6" s="226">
        <f t="shared" si="0"/>
        <v>19</v>
      </c>
      <c r="W6" s="226">
        <f t="shared" si="0"/>
        <v>20</v>
      </c>
      <c r="X6" s="227"/>
      <c r="Y6" s="227"/>
    </row>
    <row r="7" spans="2:23" ht="12.75">
      <c r="B7" s="224" t="s">
        <v>184</v>
      </c>
      <c r="C7" s="235">
        <f>SUM(D7:W7)</f>
        <v>37188.432452789624</v>
      </c>
      <c r="D7" s="233">
        <f>'ERR Electrification'!D29</f>
        <v>527.7375244159894</v>
      </c>
      <c r="E7" s="233">
        <f>'ERR Electrification'!E29</f>
        <v>3773.811976518527</v>
      </c>
      <c r="F7" s="233">
        <f>'ERR Electrification'!F29</f>
        <v>15266.3386293025</v>
      </c>
      <c r="G7" s="233">
        <f>'ERR Electrification'!G29</f>
        <v>7486.89638348315</v>
      </c>
      <c r="H7" s="233">
        <f>'ERR Electrification'!H29</f>
        <v>10133.647939069459</v>
      </c>
      <c r="I7" s="233">
        <f>'ERR Electrification'!I29</f>
        <v>0</v>
      </c>
      <c r="J7" s="233">
        <f>'ERR Electrification'!J29</f>
        <v>0</v>
      </c>
      <c r="K7" s="233">
        <f>'ERR Electrification'!K29</f>
        <v>0</v>
      </c>
      <c r="L7" s="233">
        <f>'ERR Electrification'!L29</f>
        <v>0</v>
      </c>
      <c r="M7" s="233">
        <f>'ERR Electrification'!M29</f>
        <v>0</v>
      </c>
      <c r="N7" s="233">
        <f>'ERR Electrification'!N29</f>
        <v>0</v>
      </c>
      <c r="O7" s="233">
        <f>'ERR Electrification'!O29</f>
        <v>0</v>
      </c>
      <c r="P7" s="233">
        <f>'ERR Electrification'!P29</f>
        <v>0</v>
      </c>
      <c r="Q7" s="233">
        <f>'ERR Electrification'!Q29</f>
        <v>0</v>
      </c>
      <c r="R7" s="233">
        <f>'ERR Electrification'!R29</f>
        <v>0</v>
      </c>
      <c r="S7" s="233">
        <f>'ERR Electrification'!S29</f>
        <v>0</v>
      </c>
      <c r="T7" s="233">
        <f>'ERR Electrification'!T29</f>
        <v>0</v>
      </c>
      <c r="U7" s="233">
        <f>'ERR Electrification'!U29</f>
        <v>0</v>
      </c>
      <c r="V7" s="233">
        <f>'ERR Electrification'!V29</f>
        <v>0</v>
      </c>
      <c r="W7" s="233">
        <f>'ERR Electrification'!W29</f>
        <v>0</v>
      </c>
    </row>
    <row r="8" spans="2:23" ht="12.75">
      <c r="B8" s="224" t="s">
        <v>186</v>
      </c>
      <c r="C8" s="235">
        <f>SUM(D8:W8)</f>
        <v>120089.41602820864</v>
      </c>
      <c r="D8" s="233">
        <f>'ERR Electrification'!D35</f>
        <v>0</v>
      </c>
      <c r="E8" s="233">
        <f>'ERR Electrification'!E35</f>
        <v>397.4807003338802</v>
      </c>
      <c r="F8" s="233">
        <f>'ERR Electrification'!F35</f>
        <v>1385.4165351275228</v>
      </c>
      <c r="G8" s="233">
        <f>'ERR Electrification'!G35</f>
        <v>3763.154154644349</v>
      </c>
      <c r="H8" s="233">
        <f>'ERR Electrification'!H35</f>
        <v>7158.960289881427</v>
      </c>
      <c r="I8" s="233">
        <f>'ERR Electrification'!I35</f>
        <v>7158.960289881427</v>
      </c>
      <c r="J8" s="233">
        <f>'ERR Electrification'!J35</f>
        <v>7158.960289881427</v>
      </c>
      <c r="K8" s="233">
        <f>'ERR Electrification'!K35</f>
        <v>7158.960289881427</v>
      </c>
      <c r="L8" s="233">
        <f>'ERR Electrification'!L35</f>
        <v>7158.960289881427</v>
      </c>
      <c r="M8" s="233">
        <f>'ERR Electrification'!M35</f>
        <v>7158.960289881427</v>
      </c>
      <c r="N8" s="233">
        <f>'ERR Electrification'!N35</f>
        <v>7158.960289881427</v>
      </c>
      <c r="O8" s="233">
        <f>'ERR Electrification'!O35</f>
        <v>7158.960289881427</v>
      </c>
      <c r="P8" s="233">
        <f>'ERR Electrification'!P35</f>
        <v>7158.960289881427</v>
      </c>
      <c r="Q8" s="233">
        <f>'ERR Electrification'!Q35</f>
        <v>7158.960289881427</v>
      </c>
      <c r="R8" s="233">
        <f>'ERR Electrification'!R35</f>
        <v>7158.960289881427</v>
      </c>
      <c r="S8" s="233">
        <f>'ERR Electrification'!S35</f>
        <v>7158.960289881427</v>
      </c>
      <c r="T8" s="233">
        <f>'ERR Electrification'!T35</f>
        <v>7158.960289881427</v>
      </c>
      <c r="U8" s="233">
        <f>'ERR Electrification'!U35</f>
        <v>7158.960289881427</v>
      </c>
      <c r="V8" s="233">
        <f>'ERR Electrification'!V35</f>
        <v>7158.960289881427</v>
      </c>
      <c r="W8" s="233">
        <f>'ERR Electrification'!W35</f>
        <v>7158.960289881427</v>
      </c>
    </row>
    <row r="9" spans="2:23" ht="12.75">
      <c r="B9" s="224" t="s">
        <v>180</v>
      </c>
      <c r="C9" s="235">
        <f>SUM(D9:W9)</f>
        <v>82900.98357541897</v>
      </c>
      <c r="D9" s="233">
        <f>D8-D7</f>
        <v>-527.7375244159894</v>
      </c>
      <c r="E9" s="233">
        <f>E8-E7</f>
        <v>-3376.331276184647</v>
      </c>
      <c r="F9" s="233">
        <f aca="true" t="shared" si="1" ref="F9:W9">F8-F7</f>
        <v>-13880.922094174977</v>
      </c>
      <c r="G9" s="233">
        <f t="shared" si="1"/>
        <v>-3723.742228838801</v>
      </c>
      <c r="H9" s="233">
        <f t="shared" si="1"/>
        <v>-2974.687649188031</v>
      </c>
      <c r="I9" s="233">
        <f t="shared" si="1"/>
        <v>7158.960289881427</v>
      </c>
      <c r="J9" s="233">
        <f t="shared" si="1"/>
        <v>7158.960289881427</v>
      </c>
      <c r="K9" s="233">
        <f t="shared" si="1"/>
        <v>7158.960289881427</v>
      </c>
      <c r="L9" s="233">
        <f t="shared" si="1"/>
        <v>7158.960289881427</v>
      </c>
      <c r="M9" s="233">
        <f t="shared" si="1"/>
        <v>7158.960289881427</v>
      </c>
      <c r="N9" s="233">
        <f t="shared" si="1"/>
        <v>7158.960289881427</v>
      </c>
      <c r="O9" s="233">
        <f t="shared" si="1"/>
        <v>7158.960289881427</v>
      </c>
      <c r="P9" s="233">
        <f t="shared" si="1"/>
        <v>7158.960289881427</v>
      </c>
      <c r="Q9" s="233">
        <f t="shared" si="1"/>
        <v>7158.960289881427</v>
      </c>
      <c r="R9" s="233">
        <f t="shared" si="1"/>
        <v>7158.960289881427</v>
      </c>
      <c r="S9" s="233">
        <f t="shared" si="1"/>
        <v>7158.960289881427</v>
      </c>
      <c r="T9" s="233">
        <f t="shared" si="1"/>
        <v>7158.960289881427</v>
      </c>
      <c r="U9" s="233">
        <f t="shared" si="1"/>
        <v>7158.960289881427</v>
      </c>
      <c r="V9" s="233">
        <f t="shared" si="1"/>
        <v>7158.960289881427</v>
      </c>
      <c r="W9" s="233">
        <f t="shared" si="1"/>
        <v>7158.960289881427</v>
      </c>
    </row>
    <row r="10" spans="3:23" ht="12.75">
      <c r="C10" s="235"/>
      <c r="D10" s="233"/>
      <c r="E10" s="233"/>
      <c r="F10" s="233"/>
      <c r="G10" s="233"/>
      <c r="H10" s="233"/>
      <c r="I10" s="233"/>
      <c r="J10" s="233"/>
      <c r="K10" s="233"/>
      <c r="L10" s="233"/>
      <c r="M10" s="233"/>
      <c r="N10" s="233"/>
      <c r="O10" s="233"/>
      <c r="P10" s="233"/>
      <c r="Q10" s="233"/>
      <c r="R10" s="233"/>
      <c r="S10" s="233"/>
      <c r="T10" s="233"/>
      <c r="U10" s="233"/>
      <c r="V10" s="233"/>
      <c r="W10" s="233"/>
    </row>
    <row r="11" spans="2:23" s="230" customFormat="1" ht="12.75">
      <c r="B11" s="229" t="s">
        <v>187</v>
      </c>
      <c r="C11" s="235">
        <f>SUM(D11:W11)</f>
        <v>30863.706240000003</v>
      </c>
      <c r="D11" s="234">
        <f>SUM('ERR Electrification'!D17:D23)</f>
        <v>350.47</v>
      </c>
      <c r="E11" s="234">
        <f>SUM('ERR Electrification'!E17:E23)</f>
        <v>3034.777</v>
      </c>
      <c r="F11" s="234">
        <f>SUM('ERR Electrification'!F17:F23)</f>
        <v>12594.236090000002</v>
      </c>
      <c r="G11" s="234">
        <f>SUM('ERR Electrification'!G17:G23)</f>
        <v>6270.928239999995</v>
      </c>
      <c r="H11" s="234">
        <f>SUM('ERR Electrification'!H17:H23)</f>
        <v>8613.294910000008</v>
      </c>
      <c r="I11" s="234">
        <f>SUM('ERR Electrification'!I17:I23)</f>
        <v>0</v>
      </c>
      <c r="J11" s="234">
        <f>SUM('ERR Electrification'!J17:J23)</f>
        <v>0</v>
      </c>
      <c r="K11" s="234">
        <f>SUM('ERR Electrification'!K17:K23)</f>
        <v>0</v>
      </c>
      <c r="L11" s="234">
        <f>SUM('ERR Electrification'!L17:L23)</f>
        <v>0</v>
      </c>
      <c r="M11" s="234">
        <f>SUM('ERR Electrification'!M17:M23)</f>
        <v>0</v>
      </c>
      <c r="N11" s="234">
        <f>SUM('ERR Electrification'!N17:N23)</f>
        <v>0</v>
      </c>
      <c r="O11" s="234">
        <f>SUM('ERR Electrification'!O17:O23)</f>
        <v>0</v>
      </c>
      <c r="P11" s="234">
        <f>SUM('ERR Electrification'!P17:P23)</f>
        <v>0</v>
      </c>
      <c r="Q11" s="234">
        <f>SUM('ERR Electrification'!Q17:Q23)</f>
        <v>0</v>
      </c>
      <c r="R11" s="234">
        <f>SUM('ERR Electrification'!R17:R23)</f>
        <v>0</v>
      </c>
      <c r="S11" s="234">
        <f>SUM('ERR Electrification'!S17:S23)</f>
        <v>0</v>
      </c>
      <c r="T11" s="234">
        <f>SUM('ERR Electrification'!T17:T23)</f>
        <v>0</v>
      </c>
      <c r="U11" s="234">
        <f>SUM('ERR Electrification'!U17:U23)</f>
        <v>0</v>
      </c>
      <c r="V11" s="234">
        <f>SUM('ERR Electrification'!V17:V23)</f>
        <v>0</v>
      </c>
      <c r="W11" s="234">
        <f>SUM('ERR Electrification'!W17:W23)</f>
        <v>0</v>
      </c>
    </row>
    <row r="12" spans="4:23" ht="12.75">
      <c r="D12" s="228"/>
      <c r="E12" s="228"/>
      <c r="F12" s="228"/>
      <c r="G12" s="228"/>
      <c r="H12" s="228"/>
      <c r="I12" s="228"/>
      <c r="J12" s="228"/>
      <c r="K12" s="228"/>
      <c r="L12" s="228"/>
      <c r="M12" s="228"/>
      <c r="N12" s="228"/>
      <c r="O12" s="228"/>
      <c r="P12" s="228"/>
      <c r="Q12" s="228"/>
      <c r="R12" s="228"/>
      <c r="S12" s="228"/>
      <c r="T12" s="228"/>
      <c r="U12" s="228"/>
      <c r="V12" s="228"/>
      <c r="W12" s="228"/>
    </row>
    <row r="13" spans="2:3" ht="12.75">
      <c r="B13" s="436" t="s">
        <v>103</v>
      </c>
      <c r="C13" s="108">
        <f>IRR(D9:W9,0)</f>
        <v>0.195459358636755</v>
      </c>
    </row>
    <row r="14" ht="12.75">
      <c r="B14" s="437"/>
    </row>
    <row r="15" spans="2:4" s="215" customFormat="1" ht="12.75">
      <c r="B15" s="438"/>
      <c r="D15" s="231"/>
    </row>
    <row r="16" spans="2:4" s="215" customFormat="1" ht="12.75">
      <c r="B16" s="439" t="s">
        <v>253</v>
      </c>
      <c r="C16" s="440">
        <f>NPV(0.1,D8:W8)*1000</f>
        <v>42194989.05749194</v>
      </c>
      <c r="D16" s="435" t="s">
        <v>252</v>
      </c>
    </row>
    <row r="17" spans="2:4" s="215" customFormat="1" ht="12.75">
      <c r="B17" s="439" t="s">
        <v>254</v>
      </c>
      <c r="C17" s="440">
        <f>NPV(0.1,D7:W7)*1000</f>
        <v>26474289.48134476</v>
      </c>
      <c r="D17" s="435" t="s">
        <v>252</v>
      </c>
    </row>
    <row r="18" spans="2:4" s="215" customFormat="1" ht="12.75">
      <c r="B18" s="439" t="s">
        <v>255</v>
      </c>
      <c r="C18" s="440">
        <f>NPV(0.1,D9:W9)*1000</f>
        <v>15720699.576147191</v>
      </c>
      <c r="D18" s="435" t="s">
        <v>252</v>
      </c>
    </row>
  </sheetData>
  <sheetProtection/>
  <mergeCells count="1">
    <mergeCell ref="C3:G3"/>
  </mergeCells>
  <conditionalFormatting sqref="C3">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dimension ref="A2:AB56"/>
  <sheetViews>
    <sheetView showGridLines="0" zoomScalePageLayoutView="0" workbookViewId="0" topLeftCell="A1">
      <selection activeCell="A1" sqref="A1"/>
    </sheetView>
  </sheetViews>
  <sheetFormatPr defaultColWidth="11.421875" defaultRowHeight="12.75"/>
  <cols>
    <col min="1" max="1" width="7.7109375" style="105" customWidth="1"/>
    <col min="2" max="2" width="52.28125" style="105" customWidth="1"/>
    <col min="3" max="3" width="12.421875" style="106" customWidth="1"/>
    <col min="4" max="28" width="9.8515625" style="106" customWidth="1"/>
    <col min="29" max="29" width="11.421875" style="106" customWidth="1"/>
    <col min="30" max="30" width="12.140625" style="106" customWidth="1"/>
    <col min="31" max="31" width="48.140625" style="106" customWidth="1"/>
    <col min="32" max="16384" width="11.421875" style="106" customWidth="1"/>
  </cols>
  <sheetData>
    <row r="1" ht="12.75" customHeight="1"/>
    <row r="2" spans="2:8" s="8" customFormat="1" ht="20.25">
      <c r="B2" s="219" t="s">
        <v>33</v>
      </c>
      <c r="C2" s="2"/>
      <c r="D2" s="11"/>
      <c r="E2" s="104"/>
      <c r="F2" s="11"/>
      <c r="G2" s="11"/>
      <c r="H2" s="214" t="s">
        <v>183</v>
      </c>
    </row>
    <row r="3" spans="2:10" s="8" customFormat="1" ht="27.75" customHeight="1">
      <c r="B3" s="9" t="s">
        <v>49</v>
      </c>
      <c r="C3" s="456">
        <f>IF('ERR &amp; Sensitivity Analysis'!$I$10="N","Note: Current calculations are based on user input and are not original MCC estimates.",IF('ERR &amp; Sensitivity Analysis'!$I$13="N","Note: Current calculations are based on user input and are not the original MCC estimates.",0))</f>
        <v>0</v>
      </c>
      <c r="D3" s="456"/>
      <c r="E3" s="456"/>
      <c r="F3" s="456"/>
      <c r="G3" s="456"/>
      <c r="H3" s="456"/>
      <c r="I3" s="456"/>
      <c r="J3" s="456"/>
    </row>
    <row r="4" spans="4:9" s="8" customFormat="1" ht="12.75">
      <c r="D4" s="75"/>
      <c r="E4" s="76"/>
      <c r="F4" s="11"/>
      <c r="G4" s="11"/>
      <c r="H4" s="11"/>
      <c r="I4" s="11"/>
    </row>
    <row r="5" spans="2:9" s="8" customFormat="1" ht="12.75">
      <c r="B5" s="232"/>
      <c r="C5" s="107"/>
      <c r="D5" s="107"/>
      <c r="E5" s="107"/>
      <c r="F5" s="107"/>
      <c r="G5" s="11"/>
      <c r="H5" s="11"/>
      <c r="I5" s="11"/>
    </row>
    <row r="6" spans="2:28" s="8" customFormat="1" ht="12.75">
      <c r="B6" s="12"/>
      <c r="C6" s="81" t="s">
        <v>0</v>
      </c>
      <c r="D6" s="81" t="s">
        <v>2</v>
      </c>
      <c r="E6" s="81" t="s">
        <v>3</v>
      </c>
      <c r="F6" s="81" t="s">
        <v>4</v>
      </c>
      <c r="G6" s="81" t="s">
        <v>5</v>
      </c>
      <c r="H6" s="81" t="s">
        <v>6</v>
      </c>
      <c r="I6" s="81" t="s">
        <v>7</v>
      </c>
      <c r="J6" s="81" t="s">
        <v>8</v>
      </c>
      <c r="K6" s="81" t="s">
        <v>9</v>
      </c>
      <c r="L6" s="81" t="s">
        <v>10</v>
      </c>
      <c r="M6" s="81" t="s">
        <v>11</v>
      </c>
      <c r="N6" s="81" t="s">
        <v>12</v>
      </c>
      <c r="O6" s="81" t="s">
        <v>13</v>
      </c>
      <c r="P6" s="81" t="s">
        <v>14</v>
      </c>
      <c r="Q6" s="81" t="s">
        <v>15</v>
      </c>
      <c r="R6" s="81" t="s">
        <v>16</v>
      </c>
      <c r="S6" s="81" t="s">
        <v>17</v>
      </c>
      <c r="T6" s="81" t="s">
        <v>18</v>
      </c>
      <c r="U6" s="81" t="s">
        <v>19</v>
      </c>
      <c r="V6" s="81" t="s">
        <v>20</v>
      </c>
      <c r="W6" s="81" t="s">
        <v>21</v>
      </c>
      <c r="X6" s="81" t="s">
        <v>22</v>
      </c>
      <c r="Y6" s="81" t="s">
        <v>23</v>
      </c>
      <c r="Z6" s="81" t="s">
        <v>24</v>
      </c>
      <c r="AA6" s="81" t="s">
        <v>25</v>
      </c>
      <c r="AB6" s="81" t="s">
        <v>26</v>
      </c>
    </row>
    <row r="7" spans="2:28" s="8" customFormat="1" ht="12.75">
      <c r="B7" s="83" t="s">
        <v>32</v>
      </c>
      <c r="C7" s="5"/>
      <c r="D7" s="77"/>
      <c r="E7" s="77"/>
      <c r="F7" s="77"/>
      <c r="G7" s="77"/>
      <c r="H7" s="77"/>
      <c r="I7" s="77"/>
      <c r="J7" s="77"/>
      <c r="K7" s="77"/>
      <c r="L7" s="77"/>
      <c r="M7" s="77"/>
      <c r="N7" s="77"/>
      <c r="O7" s="77"/>
      <c r="P7" s="77"/>
      <c r="Q7" s="77"/>
      <c r="R7" s="77"/>
      <c r="S7" s="77"/>
      <c r="T7" s="77"/>
      <c r="U7" s="77"/>
      <c r="V7" s="77"/>
      <c r="W7" s="77"/>
      <c r="X7" s="77"/>
      <c r="Y7" s="77"/>
      <c r="Z7" s="77"/>
      <c r="AA7" s="77"/>
      <c r="AB7" s="77"/>
    </row>
    <row r="8" spans="2:28" s="8" customFormat="1" ht="12.75">
      <c r="B8" s="8" t="s">
        <v>55</v>
      </c>
      <c r="C8" s="82">
        <f>SUM(D8:H8)</f>
        <v>22969.680176860726</v>
      </c>
      <c r="D8" s="258">
        <f>Assumptions!D26</f>
        <v>0</v>
      </c>
      <c r="E8" s="258">
        <f>Assumptions!E26</f>
        <v>1391.858511422255</v>
      </c>
      <c r="F8" s="258">
        <f>Assumptions!F26</f>
        <v>2553.868828297716</v>
      </c>
      <c r="G8" s="258">
        <f>Assumptions!G26</f>
        <v>5959.027266028003</v>
      </c>
      <c r="H8" s="258">
        <f>Assumptions!H26</f>
        <v>13064.92557111275</v>
      </c>
      <c r="I8" s="82"/>
      <c r="J8" s="77"/>
      <c r="K8" s="77"/>
      <c r="L8" s="77"/>
      <c r="M8" s="77"/>
      <c r="N8" s="77"/>
      <c r="O8" s="77"/>
      <c r="P8" s="77"/>
      <c r="Q8" s="77"/>
      <c r="R8" s="77"/>
      <c r="S8" s="77"/>
      <c r="T8" s="77"/>
      <c r="U8" s="77"/>
      <c r="V8" s="77"/>
      <c r="W8" s="77"/>
      <c r="X8" s="77"/>
      <c r="Y8" s="77"/>
      <c r="Z8" s="77"/>
      <c r="AA8" s="77"/>
      <c r="AB8" s="77"/>
    </row>
    <row r="9" spans="2:28" s="8" customFormat="1" ht="12.75">
      <c r="B9" s="8" t="s">
        <v>56</v>
      </c>
      <c r="C9" s="82">
        <f>SUM(D9:H9)</f>
        <v>10030.319823139278</v>
      </c>
      <c r="D9" s="258">
        <f>Assumptions!D27</f>
        <v>0</v>
      </c>
      <c r="E9" s="258">
        <f>Assumptions!E27</f>
        <v>0</v>
      </c>
      <c r="F9" s="258">
        <f>Assumptions!F27</f>
        <v>1702.5792188651437</v>
      </c>
      <c r="G9" s="258">
        <f>Assumptions!G27</f>
        <v>5320.560058953574</v>
      </c>
      <c r="H9" s="258">
        <f>Assumptions!H27</f>
        <v>3007.1805453205598</v>
      </c>
      <c r="I9" s="82"/>
      <c r="J9" s="77"/>
      <c r="K9" s="77"/>
      <c r="L9" s="77"/>
      <c r="M9" s="77"/>
      <c r="N9" s="77"/>
      <c r="O9" s="77"/>
      <c r="P9" s="77"/>
      <c r="Q9" s="77"/>
      <c r="R9" s="77"/>
      <c r="S9" s="77"/>
      <c r="T9" s="77"/>
      <c r="U9" s="77"/>
      <c r="V9" s="77"/>
      <c r="W9" s="77"/>
      <c r="X9" s="77"/>
      <c r="Y9" s="77"/>
      <c r="Z9" s="77"/>
      <c r="AA9" s="77"/>
      <c r="AB9" s="77"/>
    </row>
    <row r="10" spans="2:28" s="8" customFormat="1" ht="12.75">
      <c r="B10" s="12" t="s">
        <v>57</v>
      </c>
      <c r="C10" s="97">
        <f>SUM(D10:H10)</f>
        <v>1950</v>
      </c>
      <c r="D10" s="260">
        <f>Assumptions!D28</f>
        <v>0</v>
      </c>
      <c r="E10" s="260">
        <f>Assumptions!E28</f>
        <v>450</v>
      </c>
      <c r="F10" s="260">
        <f>Assumptions!F28</f>
        <v>500</v>
      </c>
      <c r="G10" s="260">
        <f>Assumptions!G28</f>
        <v>400</v>
      </c>
      <c r="H10" s="260">
        <f>Assumptions!H28</f>
        <v>600</v>
      </c>
      <c r="I10" s="97"/>
      <c r="J10" s="81"/>
      <c r="K10" s="81"/>
      <c r="L10" s="81"/>
      <c r="M10" s="81"/>
      <c r="N10" s="81"/>
      <c r="O10" s="81"/>
      <c r="P10" s="81"/>
      <c r="Q10" s="81"/>
      <c r="R10" s="81"/>
      <c r="S10" s="81"/>
      <c r="T10" s="81"/>
      <c r="U10" s="81"/>
      <c r="V10" s="81"/>
      <c r="W10" s="81"/>
      <c r="X10" s="81"/>
      <c r="Y10" s="81"/>
      <c r="Z10" s="81"/>
      <c r="AA10" s="81"/>
      <c r="AB10" s="81"/>
    </row>
    <row r="11" spans="3:28" s="8" customFormat="1" ht="12.75">
      <c r="C11" s="82">
        <f>SUM(D11:H11)</f>
        <v>34950</v>
      </c>
      <c r="D11" s="82">
        <f>SUM(D8:D10)</f>
        <v>0</v>
      </c>
      <c r="E11" s="82">
        <f>SUM(E8:E10)</f>
        <v>1841.858511422255</v>
      </c>
      <c r="F11" s="82">
        <f>SUM(F8:F10)</f>
        <v>4756.448047162859</v>
      </c>
      <c r="G11" s="82">
        <f>SUM(G8:G10)</f>
        <v>11679.587324981578</v>
      </c>
      <c r="H11" s="82">
        <f>SUM(H8:H10)</f>
        <v>16672.106116433308</v>
      </c>
      <c r="I11" s="82"/>
      <c r="J11" s="77"/>
      <c r="K11" s="77"/>
      <c r="L11" s="77"/>
      <c r="M11" s="77"/>
      <c r="N11" s="77"/>
      <c r="O11" s="77"/>
      <c r="P11" s="77"/>
      <c r="Q11" s="77"/>
      <c r="R11" s="77"/>
      <c r="S11" s="77"/>
      <c r="T11" s="77"/>
      <c r="U11" s="77"/>
      <c r="V11" s="77"/>
      <c r="W11" s="77"/>
      <c r="X11" s="77"/>
      <c r="Y11" s="77"/>
      <c r="Z11" s="77"/>
      <c r="AA11" s="77"/>
      <c r="AB11" s="77"/>
    </row>
    <row r="12" spans="3:28" s="8" customFormat="1" ht="12.75">
      <c r="C12" s="77"/>
      <c r="D12" s="82"/>
      <c r="E12" s="82"/>
      <c r="F12" s="82"/>
      <c r="G12" s="82"/>
      <c r="H12" s="82"/>
      <c r="I12" s="77"/>
      <c r="J12" s="85"/>
      <c r="K12" s="86"/>
      <c r="L12" s="77"/>
      <c r="M12" s="77"/>
      <c r="N12" s="77"/>
      <c r="O12" s="77"/>
      <c r="P12" s="77"/>
      <c r="Q12" s="77"/>
      <c r="R12" s="77"/>
      <c r="S12" s="77"/>
      <c r="T12" s="77"/>
      <c r="U12" s="77"/>
      <c r="V12" s="77"/>
      <c r="W12" s="77"/>
      <c r="X12" s="77"/>
      <c r="Y12" s="77"/>
      <c r="Z12" s="77"/>
      <c r="AA12" s="77"/>
      <c r="AB12" s="77"/>
    </row>
    <row r="13" spans="2:28" s="8" customFormat="1" ht="12.75">
      <c r="B13" s="83" t="s">
        <v>95</v>
      </c>
      <c r="C13" s="5"/>
      <c r="D13" s="90">
        <f>'ERR &amp; Sensitivity Analysis'!G10</f>
        <v>1</v>
      </c>
      <c r="E13" s="77"/>
      <c r="F13" s="82"/>
      <c r="G13" s="82"/>
      <c r="H13" s="77"/>
      <c r="I13" s="77"/>
      <c r="J13" s="77"/>
      <c r="K13" s="77"/>
      <c r="L13" s="77"/>
      <c r="M13" s="77"/>
      <c r="N13" s="77"/>
      <c r="O13" s="77"/>
      <c r="P13" s="77"/>
      <c r="Q13" s="77"/>
      <c r="R13" s="77"/>
      <c r="S13" s="77"/>
      <c r="T13" s="77"/>
      <c r="U13" s="77"/>
      <c r="V13" s="77"/>
      <c r="W13" s="77"/>
      <c r="X13" s="77"/>
      <c r="Y13" s="77"/>
      <c r="Z13" s="77"/>
      <c r="AA13" s="77"/>
      <c r="AB13" s="77"/>
    </row>
    <row r="14" spans="2:28" s="8" customFormat="1" ht="12.75">
      <c r="B14" s="83" t="s">
        <v>96</v>
      </c>
      <c r="C14" s="5"/>
      <c r="D14" s="90">
        <f>'ERR &amp; Sensitivity Analysis'!G11</f>
        <v>1</v>
      </c>
      <c r="E14" s="77"/>
      <c r="F14" s="77"/>
      <c r="G14" s="77"/>
      <c r="H14" s="77"/>
      <c r="I14" s="77"/>
      <c r="J14" s="77"/>
      <c r="K14" s="77"/>
      <c r="L14" s="77"/>
      <c r="M14" s="77"/>
      <c r="N14" s="77"/>
      <c r="O14" s="77"/>
      <c r="P14" s="77"/>
      <c r="Q14" s="77"/>
      <c r="R14" s="77"/>
      <c r="S14" s="77"/>
      <c r="T14" s="77"/>
      <c r="U14" s="77"/>
      <c r="V14" s="77"/>
      <c r="W14" s="77"/>
      <c r="X14" s="77"/>
      <c r="Y14" s="77"/>
      <c r="Z14" s="77"/>
      <c r="AA14" s="77"/>
      <c r="AB14" s="77"/>
    </row>
    <row r="15" spans="3:28" s="8" customFormat="1" ht="12.75">
      <c r="C15" s="77"/>
      <c r="D15" s="82"/>
      <c r="E15" s="82"/>
      <c r="F15" s="82"/>
      <c r="G15" s="82"/>
      <c r="H15" s="82"/>
      <c r="I15" s="77"/>
      <c r="J15" s="85"/>
      <c r="K15" s="86"/>
      <c r="L15" s="77"/>
      <c r="M15" s="77"/>
      <c r="N15" s="77"/>
      <c r="O15" s="77"/>
      <c r="P15" s="77"/>
      <c r="Q15" s="77"/>
      <c r="R15" s="77"/>
      <c r="S15" s="77"/>
      <c r="T15" s="77"/>
      <c r="U15" s="77"/>
      <c r="V15" s="77"/>
      <c r="W15" s="77"/>
      <c r="X15" s="77"/>
      <c r="Y15" s="77"/>
      <c r="Z15" s="77"/>
      <c r="AA15" s="77"/>
      <c r="AB15" s="77"/>
    </row>
    <row r="16" spans="2:28" s="8" customFormat="1" ht="12.75">
      <c r="B16" s="83" t="s">
        <v>153</v>
      </c>
      <c r="C16" s="5"/>
      <c r="D16" s="82"/>
      <c r="E16" s="82"/>
      <c r="F16" s="82"/>
      <c r="G16" s="82"/>
      <c r="H16" s="82"/>
      <c r="I16" s="77"/>
      <c r="J16" s="85"/>
      <c r="K16" s="86"/>
      <c r="L16" s="77"/>
      <c r="M16" s="77"/>
      <c r="N16" s="77"/>
      <c r="O16" s="77"/>
      <c r="P16" s="77"/>
      <c r="Q16" s="77"/>
      <c r="R16" s="77"/>
      <c r="S16" s="77"/>
      <c r="T16" s="77"/>
      <c r="U16" s="77"/>
      <c r="V16" s="77"/>
      <c r="W16" s="77"/>
      <c r="X16" s="77"/>
      <c r="Y16" s="77"/>
      <c r="Z16" s="77"/>
      <c r="AA16" s="77"/>
      <c r="AB16" s="77"/>
    </row>
    <row r="17" spans="1:28" s="8" customFormat="1" ht="12.75">
      <c r="A17" s="102"/>
      <c r="B17" s="8" t="s">
        <v>58</v>
      </c>
      <c r="C17" s="62">
        <f aca="true" t="shared" si="0" ref="C17:C25">+SUM(D17:H17)</f>
        <v>1744.6437368450556</v>
      </c>
      <c r="D17" s="282">
        <f>Assumptions!D16*$D$24</f>
        <v>0</v>
      </c>
      <c r="E17" s="282">
        <f>Assumptions!E16*$E$24</f>
        <v>563.5773012059549</v>
      </c>
      <c r="F17" s="282">
        <f>Assumptions!F16*$F$24</f>
        <v>553.123162571201</v>
      </c>
      <c r="G17" s="282">
        <f>Assumptions!G16*$G$24</f>
        <v>191.2804349720001</v>
      </c>
      <c r="H17" s="282">
        <f>Assumptions!H16*$H$24</f>
        <v>436.66283809589953</v>
      </c>
      <c r="O17" s="77"/>
      <c r="P17" s="77"/>
      <c r="Q17" s="77"/>
      <c r="R17" s="77"/>
      <c r="S17" s="77"/>
      <c r="T17" s="77"/>
      <c r="U17" s="77"/>
      <c r="V17" s="77"/>
      <c r="W17" s="77"/>
      <c r="X17" s="77"/>
      <c r="Y17" s="77"/>
      <c r="Z17" s="77"/>
      <c r="AA17" s="77"/>
      <c r="AB17" s="77"/>
    </row>
    <row r="18" spans="1:28" s="8" customFormat="1" ht="12.75">
      <c r="A18" s="102"/>
      <c r="B18" s="8" t="s">
        <v>28</v>
      </c>
      <c r="C18" s="62">
        <f t="shared" si="0"/>
        <v>20282.69255643254</v>
      </c>
      <c r="D18" s="282">
        <f>Assumptions!D17*$D$24</f>
        <v>0</v>
      </c>
      <c r="E18" s="282">
        <f>Assumptions!E17*$E$24</f>
        <v>2070.1287373829355</v>
      </c>
      <c r="F18" s="282">
        <f>Assumptions!F17*$F$24</f>
        <v>9607.37944273083</v>
      </c>
      <c r="G18" s="282">
        <f>Assumptions!G17*$G$24</f>
        <v>3880.6114596162765</v>
      </c>
      <c r="H18" s="282">
        <f>Assumptions!H17*$H$24</f>
        <v>4724.572916702498</v>
      </c>
      <c r="O18" s="77"/>
      <c r="P18" s="77"/>
      <c r="Q18" s="77"/>
      <c r="R18" s="77"/>
      <c r="S18" s="77"/>
      <c r="T18" s="77"/>
      <c r="U18" s="77"/>
      <c r="V18" s="77"/>
      <c r="W18" s="77"/>
      <c r="X18" s="77"/>
      <c r="Y18" s="77"/>
      <c r="Z18" s="77"/>
      <c r="AA18" s="77"/>
      <c r="AB18" s="77"/>
    </row>
    <row r="19" spans="1:28" s="8" customFormat="1" ht="12.75">
      <c r="A19" s="102"/>
      <c r="B19" s="8" t="s">
        <v>29</v>
      </c>
      <c r="C19" s="62">
        <f t="shared" si="0"/>
        <v>496.93424352564483</v>
      </c>
      <c r="D19" s="282">
        <f>Assumptions!D18*$D$24</f>
        <v>0</v>
      </c>
      <c r="E19" s="282">
        <f>Assumptions!E18*$E$24</f>
        <v>47.9858627656074</v>
      </c>
      <c r="F19" s="282">
        <f>Assumptions!F18*$F$24</f>
        <v>153.3601505398673</v>
      </c>
      <c r="G19" s="282">
        <f>Assumptions!G18*$G$24</f>
        <v>117.87178604062078</v>
      </c>
      <c r="H19" s="282">
        <f>Assumptions!H18*$H$24</f>
        <v>177.71644417954934</v>
      </c>
      <c r="O19" s="77"/>
      <c r="P19" s="77"/>
      <c r="Q19" s="77"/>
      <c r="R19" s="77"/>
      <c r="S19" s="77"/>
      <c r="T19" s="77"/>
      <c r="U19" s="77"/>
      <c r="V19" s="77"/>
      <c r="W19" s="77"/>
      <c r="X19" s="77"/>
      <c r="Y19" s="77"/>
      <c r="Z19" s="77"/>
      <c r="AA19" s="77"/>
      <c r="AB19" s="77"/>
    </row>
    <row r="20" spans="1:28" s="8" customFormat="1" ht="12.75">
      <c r="A20" s="102"/>
      <c r="B20" s="8" t="s">
        <v>30</v>
      </c>
      <c r="C20" s="62">
        <f t="shared" si="0"/>
        <v>5530.808778684924</v>
      </c>
      <c r="D20" s="282">
        <f>Assumptions!D19*$D$24</f>
        <v>0</v>
      </c>
      <c r="E20" s="282">
        <f>Assumptions!E19*$E$24</f>
        <v>0</v>
      </c>
      <c r="F20" s="282">
        <f>Assumptions!F19*$F$24</f>
        <v>1835.866323771058</v>
      </c>
      <c r="G20" s="282">
        <f>Assumptions!G19*$G$24</f>
        <v>1928.3602685310755</v>
      </c>
      <c r="H20" s="282">
        <f>Assumptions!H19*$H$24</f>
        <v>1766.5821863827907</v>
      </c>
      <c r="O20" s="77"/>
      <c r="P20" s="77"/>
      <c r="Q20" s="77"/>
      <c r="R20" s="77"/>
      <c r="S20" s="77"/>
      <c r="T20" s="77"/>
      <c r="U20" s="77"/>
      <c r="V20" s="77"/>
      <c r="W20" s="77"/>
      <c r="X20" s="77"/>
      <c r="Y20" s="77"/>
      <c r="Z20" s="77"/>
      <c r="AA20" s="77"/>
      <c r="AB20" s="77"/>
    </row>
    <row r="21" spans="1:28" s="8" customFormat="1" ht="12.75">
      <c r="A21" s="102"/>
      <c r="B21" s="8" t="s">
        <v>88</v>
      </c>
      <c r="C21" s="62">
        <f t="shared" si="0"/>
        <v>547.4371844799282</v>
      </c>
      <c r="D21" s="282">
        <f>Assumptions!D20*$D$24</f>
        <v>0</v>
      </c>
      <c r="E21" s="282">
        <f>Assumptions!E20*$E$24</f>
        <v>0</v>
      </c>
      <c r="F21" s="282">
        <f>Assumptions!F20*$F$24</f>
        <v>0</v>
      </c>
      <c r="G21" s="282">
        <f>Assumptions!G20*$G$24</f>
        <v>0</v>
      </c>
      <c r="H21" s="282">
        <f>Assumptions!H20*$H$24</f>
        <v>547.4371844799282</v>
      </c>
      <c r="O21" s="77"/>
      <c r="P21" s="77"/>
      <c r="Q21" s="77"/>
      <c r="R21" s="77"/>
      <c r="S21" s="77"/>
      <c r="T21" s="77"/>
      <c r="U21" s="77"/>
      <c r="V21" s="77"/>
      <c r="W21" s="77"/>
      <c r="X21" s="77"/>
      <c r="Y21" s="77"/>
      <c r="Z21" s="77"/>
      <c r="AA21" s="77"/>
      <c r="AB21" s="77"/>
    </row>
    <row r="22" spans="1:28" s="8" customFormat="1" ht="12.75">
      <c r="A22" s="102"/>
      <c r="B22" s="8" t="s">
        <v>89</v>
      </c>
      <c r="C22" s="62">
        <f t="shared" si="0"/>
        <v>727.7713968264992</v>
      </c>
      <c r="D22" s="282">
        <f>Assumptions!D21*$D$24</f>
        <v>0</v>
      </c>
      <c r="E22" s="282">
        <f>Assumptions!E21*$E$24</f>
        <v>0</v>
      </c>
      <c r="F22" s="282">
        <f>Assumptions!F21*$F$24</f>
        <v>0</v>
      </c>
      <c r="G22" s="282">
        <f>Assumptions!G21*$G$24</f>
        <v>0</v>
      </c>
      <c r="H22" s="282">
        <f>Assumptions!H21*$H$24</f>
        <v>727.7713968264992</v>
      </c>
      <c r="O22" s="77"/>
      <c r="P22" s="77"/>
      <c r="Q22" s="77"/>
      <c r="R22" s="77"/>
      <c r="S22" s="77"/>
      <c r="T22" s="77"/>
      <c r="U22" s="77"/>
      <c r="V22" s="77"/>
      <c r="W22" s="77"/>
      <c r="X22" s="77"/>
      <c r="Y22" s="77"/>
      <c r="Z22" s="77"/>
      <c r="AA22" s="77"/>
      <c r="AB22" s="77"/>
    </row>
    <row r="23" spans="1:28" s="8" customFormat="1" ht="12.75">
      <c r="A23" s="102"/>
      <c r="B23" s="12" t="s">
        <v>87</v>
      </c>
      <c r="C23" s="80">
        <f t="shared" si="0"/>
        <v>1533.4183432054126</v>
      </c>
      <c r="D23" s="260">
        <f>Assumptions!D22*$D$24</f>
        <v>350.47</v>
      </c>
      <c r="E23" s="260">
        <f>Assumptions!E22*$E$24</f>
        <v>353.08509864550234</v>
      </c>
      <c r="F23" s="260">
        <f>Assumptions!F22*$F$24</f>
        <v>444.5070103870452</v>
      </c>
      <c r="G23" s="260">
        <f>Assumptions!G22*$G$24</f>
        <v>152.8042908400219</v>
      </c>
      <c r="H23" s="260">
        <f>Assumptions!H22*$H$24</f>
        <v>232.5519433328431</v>
      </c>
      <c r="O23" s="77"/>
      <c r="P23" s="77"/>
      <c r="Q23" s="77"/>
      <c r="R23" s="77"/>
      <c r="S23" s="77"/>
      <c r="T23" s="77"/>
      <c r="U23" s="77"/>
      <c r="V23" s="77"/>
      <c r="W23" s="77"/>
      <c r="X23" s="77"/>
      <c r="Y23" s="77"/>
      <c r="Z23" s="77"/>
      <c r="AA23" s="77"/>
      <c r="AB23" s="77"/>
    </row>
    <row r="24" spans="1:28" s="8" customFormat="1" ht="12.75">
      <c r="A24" s="102"/>
      <c r="B24" s="63" t="s">
        <v>98</v>
      </c>
      <c r="C24" s="62">
        <v>30863.706240000003</v>
      </c>
      <c r="D24" s="62">
        <v>350.47</v>
      </c>
      <c r="E24" s="62">
        <v>3034.777</v>
      </c>
      <c r="F24" s="62">
        <v>12594.23609</v>
      </c>
      <c r="G24" s="62">
        <v>6270.928239999995</v>
      </c>
      <c r="H24" s="62">
        <v>8613.294910000008</v>
      </c>
      <c r="I24" s="77"/>
      <c r="J24" s="77"/>
      <c r="L24" s="62"/>
      <c r="M24" s="103"/>
      <c r="N24" s="77"/>
      <c r="O24" s="77"/>
      <c r="P24" s="77"/>
      <c r="Q24" s="77"/>
      <c r="R24" s="77"/>
      <c r="S24" s="77"/>
      <c r="T24" s="77"/>
      <c r="U24" s="77"/>
      <c r="V24" s="77"/>
      <c r="W24" s="77"/>
      <c r="X24" s="77"/>
      <c r="Y24" s="77"/>
      <c r="Z24" s="77"/>
      <c r="AA24" s="77"/>
      <c r="AB24" s="77"/>
    </row>
    <row r="25" spans="1:28" s="8" customFormat="1" ht="12.75">
      <c r="A25" s="102"/>
      <c r="B25" s="63" t="s">
        <v>83</v>
      </c>
      <c r="C25" s="62">
        <f t="shared" si="0"/>
        <v>4643.018043289961</v>
      </c>
      <c r="D25" s="282">
        <f>SUM(D18:D20)*(0.15/0.85)</f>
        <v>0</v>
      </c>
      <c r="E25" s="282">
        <f>SUM(E18:E20)*(0.15/0.85)</f>
        <v>373.7849294379781</v>
      </c>
      <c r="F25" s="282">
        <f>SUM(F18:F20)*(0.15/0.85)</f>
        <v>2046.4598677132508</v>
      </c>
      <c r="G25" s="282">
        <f>SUM(G18:G20)*(0.15/0.85)</f>
        <v>1045.9135613272895</v>
      </c>
      <c r="H25" s="282">
        <f>SUM(H18:H20)*(0.15/0.85)</f>
        <v>1176.859684811442</v>
      </c>
      <c r="I25" s="77"/>
      <c r="J25" s="77"/>
      <c r="K25" s="87"/>
      <c r="L25" s="77"/>
      <c r="M25" s="77"/>
      <c r="N25" s="77"/>
      <c r="O25" s="77"/>
      <c r="P25" s="77"/>
      <c r="Q25" s="77"/>
      <c r="R25" s="77"/>
      <c r="S25" s="77"/>
      <c r="T25" s="77"/>
      <c r="U25" s="77"/>
      <c r="V25" s="77"/>
      <c r="W25" s="77"/>
      <c r="X25" s="77"/>
      <c r="Y25" s="77"/>
      <c r="Z25" s="77"/>
      <c r="AA25" s="77"/>
      <c r="AB25" s="77"/>
    </row>
    <row r="26" spans="1:28" s="15" customFormat="1" ht="12.75">
      <c r="A26" s="102"/>
      <c r="B26" s="14" t="s">
        <v>27</v>
      </c>
      <c r="C26" s="80">
        <f>+SUM(D26:H26)</f>
        <v>2018.422368457016</v>
      </c>
      <c r="D26" s="292">
        <v>157.95516243249668</v>
      </c>
      <c r="E26" s="292">
        <v>365.2500470805487</v>
      </c>
      <c r="F26" s="292">
        <v>565.9164545837934</v>
      </c>
      <c r="G26" s="292">
        <v>269.1283284118459</v>
      </c>
      <c r="H26" s="292">
        <v>660.1723759483316</v>
      </c>
      <c r="I26" s="88"/>
      <c r="J26" s="88"/>
      <c r="L26" s="88"/>
      <c r="M26" s="88"/>
      <c r="N26" s="88"/>
      <c r="O26" s="88"/>
      <c r="P26" s="88"/>
      <c r="Q26" s="88"/>
      <c r="R26" s="88"/>
      <c r="S26" s="88"/>
      <c r="T26" s="88"/>
      <c r="U26" s="88"/>
      <c r="V26" s="88"/>
      <c r="W26" s="88"/>
      <c r="X26" s="88"/>
      <c r="Y26" s="88"/>
      <c r="Z26" s="88"/>
      <c r="AA26" s="88"/>
      <c r="AB26" s="88"/>
    </row>
    <row r="27" spans="1:28" s="8" customFormat="1" ht="12.75">
      <c r="A27" s="102"/>
      <c r="B27" s="63" t="s">
        <v>0</v>
      </c>
      <c r="C27" s="62">
        <f aca="true" t="shared" si="1" ref="C27:H27">(SUM(C24:C26))*$D$13</f>
        <v>37525.14665174698</v>
      </c>
      <c r="D27" s="62">
        <f>(SUM(D24:D26))*$D$13</f>
        <v>508.4251624324967</v>
      </c>
      <c r="E27" s="62">
        <f>(SUM(E24:E26))*$D$13</f>
        <v>3773.8119765185265</v>
      </c>
      <c r="F27" s="62">
        <f t="shared" si="1"/>
        <v>15206.612412297045</v>
      </c>
      <c r="G27" s="62">
        <f t="shared" si="1"/>
        <v>7585.97012973913</v>
      </c>
      <c r="H27" s="62">
        <f t="shared" si="1"/>
        <v>10450.326970759783</v>
      </c>
      <c r="I27" s="77"/>
      <c r="L27" s="77"/>
      <c r="M27" s="77"/>
      <c r="N27" s="77"/>
      <c r="O27" s="77"/>
      <c r="P27" s="77"/>
      <c r="Q27" s="77"/>
      <c r="R27" s="77"/>
      <c r="S27" s="77"/>
      <c r="T27" s="77"/>
      <c r="U27" s="77"/>
      <c r="V27" s="77"/>
      <c r="W27" s="77"/>
      <c r="X27" s="77"/>
      <c r="Y27" s="77"/>
      <c r="Z27" s="77"/>
      <c r="AA27" s="77"/>
      <c r="AB27" s="77"/>
    </row>
    <row r="28" spans="1:28" s="8" customFormat="1" ht="12.75">
      <c r="A28" s="102"/>
      <c r="B28" s="14" t="s">
        <v>116</v>
      </c>
      <c r="C28" s="80"/>
      <c r="D28" s="89">
        <f>$E$48/D48</f>
        <v>1.03798466993863</v>
      </c>
      <c r="E28" s="89">
        <f>$E$48/E48</f>
        <v>1</v>
      </c>
      <c r="F28" s="89">
        <f>$E$48/F48</f>
        <v>1.0039276477486305</v>
      </c>
      <c r="G28" s="89">
        <f>$E$48/G48</f>
        <v>0.9869398712937739</v>
      </c>
      <c r="H28" s="89">
        <f>$E$48/H48</f>
        <v>0.9696967346020466</v>
      </c>
      <c r="I28" s="77"/>
      <c r="J28" s="77"/>
      <c r="L28" s="77"/>
      <c r="M28" s="77"/>
      <c r="N28" s="77"/>
      <c r="O28" s="77"/>
      <c r="P28" s="77"/>
      <c r="Q28" s="77"/>
      <c r="R28" s="77"/>
      <c r="S28" s="77"/>
      <c r="T28" s="77"/>
      <c r="U28" s="77"/>
      <c r="V28" s="77"/>
      <c r="W28" s="77"/>
      <c r="X28" s="77"/>
      <c r="Y28" s="77"/>
      <c r="Z28" s="77"/>
      <c r="AA28" s="77"/>
      <c r="AB28" s="77"/>
    </row>
    <row r="29" spans="1:28" s="8" customFormat="1" ht="12.75">
      <c r="A29" s="102"/>
      <c r="B29" s="148" t="s">
        <v>145</v>
      </c>
      <c r="C29" s="98">
        <f>+SUM(D29:H29)</f>
        <v>37188.432452789624</v>
      </c>
      <c r="D29" s="62">
        <f>(D24+D26+D25)*D28*$D$13</f>
        <v>527.7375244159894</v>
      </c>
      <c r="E29" s="62">
        <f>(E24+E26+E25)*E28*$D$13</f>
        <v>3773.811976518527</v>
      </c>
      <c r="F29" s="62">
        <f>(F24+F26+F25)*F28*$D$13</f>
        <v>15266.3386293025</v>
      </c>
      <c r="G29" s="62">
        <f>(G24+G26+G25)*G28*$D$13</f>
        <v>7486.89638348315</v>
      </c>
      <c r="H29" s="62">
        <f>(H24+H26+H25)*H28*$D$13</f>
        <v>10133.647939069459</v>
      </c>
      <c r="I29" s="77"/>
      <c r="J29" s="77"/>
      <c r="K29" s="77"/>
      <c r="L29" s="77"/>
      <c r="M29" s="77"/>
      <c r="N29" s="77"/>
      <c r="O29" s="77"/>
      <c r="P29" s="77"/>
      <c r="Q29" s="77"/>
      <c r="R29" s="77"/>
      <c r="S29" s="77"/>
      <c r="T29" s="77"/>
      <c r="U29" s="77"/>
      <c r="V29" s="77"/>
      <c r="W29" s="77"/>
      <c r="X29" s="77"/>
      <c r="Y29" s="77"/>
      <c r="Z29" s="77"/>
      <c r="AA29" s="77"/>
      <c r="AB29" s="77"/>
    </row>
    <row r="30" spans="1:28" s="8" customFormat="1" ht="18.75" customHeight="1">
      <c r="A30" s="102"/>
      <c r="B30" s="135" t="s">
        <v>157</v>
      </c>
      <c r="C30" s="5"/>
      <c r="D30" s="62">
        <f>Assumptions!$E$12*'Consumer Surplus'!$G$19*SUM('ERR Electrification'!$D$8:D9)*12/1000</f>
        <v>0</v>
      </c>
      <c r="E30" s="62">
        <f>Assumptions!$E$12*'Consumer Surplus'!$G$19*SUM('ERR Electrification'!$D$8:E9)*12/1000</f>
        <v>42.089801385409</v>
      </c>
      <c r="F30" s="62">
        <f>Assumptions!$E$12*'Consumer Surplus'!$G$19*SUM('ERR Electrification'!$D$8:F9)*12/1000</f>
        <v>170.80479033161384</v>
      </c>
      <c r="G30" s="62">
        <f>Assumptions!$E$12*'Consumer Surplus'!$G$19*SUM('ERR Electrification'!$D$8:G9)*12/1000</f>
        <v>511.8995110390568</v>
      </c>
      <c r="H30" s="62">
        <f>Assumptions!$E$12*'Consumer Surplus'!$G$19*SUM('ERR Electrification'!$D$8:H9)*12/1000</f>
        <v>997.92</v>
      </c>
      <c r="I30" s="62">
        <f>Assumptions!$E$12*'Consumer Surplus'!$G$19*SUM('ERR Electrification'!$D$8:I9)*12/1000</f>
        <v>997.92</v>
      </c>
      <c r="J30" s="62">
        <f>Assumptions!$E$12*'Consumer Surplus'!$G$19*SUM('ERR Electrification'!$D$8:J9)*12/1000</f>
        <v>997.92</v>
      </c>
      <c r="K30" s="62">
        <f>Assumptions!$E$12*'Consumer Surplus'!$G$19*SUM('ERR Electrification'!$D$8:K9)*12/1000</f>
        <v>997.92</v>
      </c>
      <c r="L30" s="62">
        <f>Assumptions!$E$12*'Consumer Surplus'!$G$19*SUM('ERR Electrification'!$D$8:L9)*12/1000</f>
        <v>997.92</v>
      </c>
      <c r="M30" s="62">
        <f>Assumptions!$E$12*'Consumer Surplus'!$G$19*SUM('ERR Electrification'!$D$8:M9)*12/1000</f>
        <v>997.92</v>
      </c>
      <c r="N30" s="62">
        <f>Assumptions!$E$12*'Consumer Surplus'!$G$19*SUM('ERR Electrification'!$D$8:N9)*12/1000</f>
        <v>997.92</v>
      </c>
      <c r="O30" s="62">
        <f>Assumptions!$E$12*'Consumer Surplus'!$G$19*SUM('ERR Electrification'!$D$8:O9)*12/1000</f>
        <v>997.92</v>
      </c>
      <c r="P30" s="62">
        <f>Assumptions!$E$12*'Consumer Surplus'!$G$19*SUM('ERR Electrification'!$D$8:P9)*12/1000</f>
        <v>997.92</v>
      </c>
      <c r="Q30" s="62">
        <f>Assumptions!$E$12*'Consumer Surplus'!$G$19*SUM('ERR Electrification'!$D$8:Q9)*12/1000</f>
        <v>997.92</v>
      </c>
      <c r="R30" s="62">
        <f>Assumptions!$E$12*'Consumer Surplus'!$G$19*SUM('ERR Electrification'!$D$8:R9)*12/1000</f>
        <v>997.92</v>
      </c>
      <c r="S30" s="62">
        <f>Assumptions!$E$12*'Consumer Surplus'!$G$19*SUM('ERR Electrification'!$D$8:S9)*12/1000</f>
        <v>997.92</v>
      </c>
      <c r="T30" s="62">
        <f>Assumptions!$E$12*'Consumer Surplus'!$G$19*SUM('ERR Electrification'!$D$8:T9)*12/1000</f>
        <v>997.92</v>
      </c>
      <c r="U30" s="62">
        <f>Assumptions!$E$12*'Consumer Surplus'!$G$19*SUM('ERR Electrification'!$D$8:U9)*12/1000</f>
        <v>997.92</v>
      </c>
      <c r="V30" s="62">
        <f>Assumptions!$E$12*'Consumer Surplus'!$G$19*SUM('ERR Electrification'!$D$8:V9)*12/1000</f>
        <v>997.92</v>
      </c>
      <c r="W30" s="62">
        <f>Assumptions!$E$12*'Consumer Surplus'!$G$19*SUM('ERR Electrification'!$D$8:W9)*12/1000</f>
        <v>997.92</v>
      </c>
      <c r="X30" s="62">
        <f>Assumptions!$E$12*'Consumer Surplus'!$G$19*SUM('ERR Electrification'!$D$8:X9)*12/1000</f>
        <v>997.92</v>
      </c>
      <c r="Y30" s="62">
        <f>Assumptions!$E$12*'Consumer Surplus'!$G$19*SUM('ERR Electrification'!$D$8:Y9)*12/1000</f>
        <v>997.92</v>
      </c>
      <c r="Z30" s="62">
        <f>Assumptions!$E$12*'Consumer Surplus'!$G$19*SUM('ERR Electrification'!$D$8:Z9)*12/1000</f>
        <v>997.92</v>
      </c>
      <c r="AA30" s="62">
        <f>Assumptions!$E$12*'Consumer Surplus'!$G$19*SUM('ERR Electrification'!$D$8:AA9)*12/1000</f>
        <v>997.92</v>
      </c>
      <c r="AB30" s="62">
        <f>Assumptions!$E$12*'Consumer Surplus'!$G$19*SUM('ERR Electrification'!$D$8:AB9)*12/1000</f>
        <v>997.92</v>
      </c>
    </row>
    <row r="32" spans="1:28" s="8" customFormat="1" ht="12.75">
      <c r="A32" s="102"/>
      <c r="B32" s="83" t="s">
        <v>117</v>
      </c>
      <c r="C32" s="77"/>
      <c r="D32" s="62"/>
      <c r="E32" s="62"/>
      <c r="F32" s="62"/>
      <c r="G32" s="62"/>
      <c r="H32" s="62"/>
      <c r="I32" s="62"/>
      <c r="J32" s="62"/>
      <c r="K32" s="77"/>
      <c r="L32" s="77"/>
      <c r="M32" s="77"/>
      <c r="N32" s="77"/>
      <c r="O32" s="77"/>
      <c r="P32" s="77"/>
      <c r="Q32" s="77"/>
      <c r="R32" s="77"/>
      <c r="S32" s="77"/>
      <c r="T32" s="77"/>
      <c r="U32" s="77"/>
      <c r="V32" s="77"/>
      <c r="W32" s="77"/>
      <c r="X32" s="77"/>
      <c r="Y32" s="77"/>
      <c r="Z32" s="77"/>
      <c r="AA32" s="77"/>
      <c r="AB32" s="77"/>
    </row>
    <row r="33" spans="2:28" s="8" customFormat="1" ht="12.75">
      <c r="B33" s="8" t="s">
        <v>50</v>
      </c>
      <c r="C33" s="77"/>
      <c r="D33" s="334">
        <f>+(SUM($D$8:D8,$D$9:D9)*('Consumer Surplus'!$M$476*'ERR &amp; Sensitivity Analysis'!$D$16+'Consumer Surplus'!$L$476)*12/1000)*$D$28</f>
        <v>0</v>
      </c>
      <c r="E33" s="334">
        <f>+(SUM($D$8:E8,$D$9:E9)*('Consumer Surplus'!$M$476*'ERR &amp; Sensitivity Analysis'!$D$16+'Consumer Surplus'!$L$476)*12/1000)*D$28</f>
        <v>342.43063636007264</v>
      </c>
      <c r="F33" s="334">
        <f>+(SUM($D$8:F8,$D$9:F9)*('Consumer Surplus'!$M$476*'ERR &amp; Sensitivity Analysis'!$D$16+'Consumer Surplus'!$L$476)*12/1000)*$D$28</f>
        <v>1389.6191267578483</v>
      </c>
      <c r="G33" s="334">
        <f>+(SUM($D$8:G8,$D$9:G9)*('Consumer Surplus'!$M$476*'ERR &amp; Sensitivity Analysis'!$D$16+'Consumer Surplus'!$L$476)*12/1000)*$D$28</f>
        <v>4164.668626311954</v>
      </c>
      <c r="H33" s="334">
        <f>+(SUM($D$8:H8,$D$9:H9)*('Consumer Surplus'!$M$476*'ERR &amp; Sensitivity Analysis'!$D$16+'Consumer Surplus'!$L$476)*12/1000)*$D$28</f>
        <v>8118.7928996715345</v>
      </c>
      <c r="I33" s="334">
        <f>+(SUM($D$8:I8,$D$9:I9)*('Consumer Surplus'!$M$476*'ERR &amp; Sensitivity Analysis'!$D$16+'Consumer Surplus'!$L$476)*12/1000)*$D$28</f>
        <v>8118.7928996715345</v>
      </c>
      <c r="J33" s="334">
        <f>+(SUM($D$8:J8,$D$9:J9)*('Consumer Surplus'!$M$476*'ERR &amp; Sensitivity Analysis'!$D$16+'Consumer Surplus'!$L$476)*12/1000)*$D$28</f>
        <v>8118.7928996715345</v>
      </c>
      <c r="K33" s="334">
        <f>+(SUM($D$8:K8,$D$9:K9)*('Consumer Surplus'!$M$476*'ERR &amp; Sensitivity Analysis'!$D$16+'Consumer Surplus'!$L$476)*12/1000)*$D$28</f>
        <v>8118.7928996715345</v>
      </c>
      <c r="L33" s="334">
        <f>+(SUM($D$8:L8,$D$9:L9)*('Consumer Surplus'!$M$476*'ERR &amp; Sensitivity Analysis'!$D$16+'Consumer Surplus'!$L$476)*12/1000)*$D$28</f>
        <v>8118.7928996715345</v>
      </c>
      <c r="M33" s="334">
        <f>+(SUM($D$8:M8,$D$9:M9)*('Consumer Surplus'!$M$476*'ERR &amp; Sensitivity Analysis'!$D$16+'Consumer Surplus'!$L$476)*12/1000)*$D$28</f>
        <v>8118.7928996715345</v>
      </c>
      <c r="N33" s="334">
        <f>+(SUM($D$8:N8,$D$9:N9)*('Consumer Surplus'!$M$476*'ERR &amp; Sensitivity Analysis'!$D$16+'Consumer Surplus'!$L$476)*12/1000)*$D$28</f>
        <v>8118.7928996715345</v>
      </c>
      <c r="O33" s="334">
        <f>+(SUM($D$8:O8,$D$9:O9)*('Consumer Surplus'!$M$476*'ERR &amp; Sensitivity Analysis'!$D$16+'Consumer Surplus'!$L$476)*12/1000)*$D$28</f>
        <v>8118.7928996715345</v>
      </c>
      <c r="P33" s="334">
        <f>+(SUM($D$8:P8,$D$9:P9)*('Consumer Surplus'!$M$476*'ERR &amp; Sensitivity Analysis'!$D$16+'Consumer Surplus'!$L$476)*12/1000)*$D$28</f>
        <v>8118.7928996715345</v>
      </c>
      <c r="Q33" s="334">
        <f>+(SUM($D$8:Q8,$D$9:Q9)*('Consumer Surplus'!$M$476*'ERR &amp; Sensitivity Analysis'!$D$16+'Consumer Surplus'!$L$476)*12/1000)*$D$28</f>
        <v>8118.7928996715345</v>
      </c>
      <c r="R33" s="334">
        <f>+(SUM($D$8:R8,$D$9:R9)*('Consumer Surplus'!$M$476*'ERR &amp; Sensitivity Analysis'!$D$16+'Consumer Surplus'!$L$476)*12/1000)*$D$28</f>
        <v>8118.7928996715345</v>
      </c>
      <c r="S33" s="334">
        <f>+(SUM($D$8:S8,$D$9:S9)*('Consumer Surplus'!$M$476*'ERR &amp; Sensitivity Analysis'!$D$16+'Consumer Surplus'!$L$476)*12/1000)*$D$28</f>
        <v>8118.7928996715345</v>
      </c>
      <c r="T33" s="334">
        <f>+(SUM($D$8:T8,$D$9:T9)*('Consumer Surplus'!$M$476*'ERR &amp; Sensitivity Analysis'!$D$16+'Consumer Surplus'!$L$476)*12/1000)*$D$28</f>
        <v>8118.7928996715345</v>
      </c>
      <c r="U33" s="334">
        <f>+(SUM($D$8:U8,$D$9:U9)*('Consumer Surplus'!$M$476*'ERR &amp; Sensitivity Analysis'!$D$16+'Consumer Surplus'!$L$476)*12/1000)*$D$28</f>
        <v>8118.7928996715345</v>
      </c>
      <c r="V33" s="334">
        <f>+(SUM($D$8:V8,$D$9:V9)*('Consumer Surplus'!$M$476*'ERR &amp; Sensitivity Analysis'!$D$16+'Consumer Surplus'!$L$476)*12/1000)*$D$28</f>
        <v>8118.7928996715345</v>
      </c>
      <c r="W33" s="334">
        <f>+(SUM($D$8:W8,$D$9:W9)*('Consumer Surplus'!$M$476*'ERR &amp; Sensitivity Analysis'!$D$16+'Consumer Surplus'!$L$476)*12/1000)*$D$28</f>
        <v>8118.7928996715345</v>
      </c>
      <c r="X33" s="334">
        <f>+(SUM($D$8:X8,$D$9:X9)*('Consumer Surplus'!$M$476*'ERR &amp; Sensitivity Analysis'!$D$16+'Consumer Surplus'!$L$476)*12/1000)*$D$28</f>
        <v>8118.7928996715345</v>
      </c>
      <c r="Y33" s="334">
        <f>+(SUM($D$8:Y8,$D$9:Y9)*('Consumer Surplus'!$M$476*'ERR &amp; Sensitivity Analysis'!$D$16+'Consumer Surplus'!$L$476)*12/1000)*$D$28</f>
        <v>8118.7928996715345</v>
      </c>
      <c r="Z33" s="334">
        <f>+(SUM($D$8:Z8,$D$9:Z9)*('Consumer Surplus'!$M$476*'ERR &amp; Sensitivity Analysis'!$D$16+'Consumer Surplus'!$L$476)*12/1000)*$D$28</f>
        <v>8118.7928996715345</v>
      </c>
      <c r="AA33" s="334">
        <f>+(SUM($D$8:AA8,$D$9:AA9)*('Consumer Surplus'!$M$476*'ERR &amp; Sensitivity Analysis'!$D$16+'Consumer Surplus'!$L$476)*12/1000)*$D$28</f>
        <v>8118.7928996715345</v>
      </c>
      <c r="AB33" s="334">
        <f>+(SUM($D$8:AB8,$D$9:AB9)*('Consumer Surplus'!$M$476*'ERR &amp; Sensitivity Analysis'!$D$16+'Consumer Surplus'!$L$476)*12/1000)*$D$28</f>
        <v>8118.7928996715345</v>
      </c>
    </row>
    <row r="34" spans="1:28" s="8" customFormat="1" ht="12.75">
      <c r="A34" s="102"/>
      <c r="B34" s="12" t="s">
        <v>59</v>
      </c>
      <c r="C34" s="81"/>
      <c r="D34" s="335">
        <v>0</v>
      </c>
      <c r="E34" s="335">
        <f>+SUM($D$10:E10)*('Solar Calculations'!$C$33*'ERR &amp; Sensitivity Analysis'!$D$16+'Solar Calculations'!$C$35)*12/1000*$D$28</f>
        <v>125.1312315187397</v>
      </c>
      <c r="F34" s="335">
        <f>+SUM($D$10:F10)*('Solar Calculations'!$C$33*'ERR &amp; Sensitivity Analysis'!$D$16+'Solar Calculations'!$C$35)*12/1000*$D$28</f>
        <v>264.16593320622826</v>
      </c>
      <c r="G34" s="335">
        <f>+SUM($D$10:G10)*('Solar Calculations'!$C$33*'ERR &amp; Sensitivity Analysis'!$D$16+'Solar Calculations'!$C$35)*12/1000*$D$28</f>
        <v>375.3936945562191</v>
      </c>
      <c r="H34" s="335">
        <f>+SUM($D$10:H10)*('Solar Calculations'!$C$33*'ERR &amp; Sensitivity Analysis'!$D$16+'Solar Calculations'!$C$35)*12/1000*$D$28</f>
        <v>542.2353365812054</v>
      </c>
      <c r="I34" s="335">
        <f>+SUM($D$10:I10)*('Solar Calculations'!$C$33*'ERR &amp; Sensitivity Analysis'!$D$16+'Solar Calculations'!$C$35)*12/1000*$D$28</f>
        <v>542.2353365812054</v>
      </c>
      <c r="J34" s="335">
        <f>+SUM($D$10:J10)*('Solar Calculations'!$C$33*'ERR &amp; Sensitivity Analysis'!$D$16+'Solar Calculations'!$C$35)*12/1000*$D$28</f>
        <v>542.2353365812054</v>
      </c>
      <c r="K34" s="335">
        <f>+SUM($D$10:K10)*('Solar Calculations'!$C$33*'ERR &amp; Sensitivity Analysis'!$D$16+'Solar Calculations'!$C$35)*12/1000*$D$28</f>
        <v>542.2353365812054</v>
      </c>
      <c r="L34" s="335">
        <f>+SUM($D$10:L10)*('Solar Calculations'!$C$33*'ERR &amp; Sensitivity Analysis'!$D$16+'Solar Calculations'!$C$35)*12/1000*$D$28</f>
        <v>542.2353365812054</v>
      </c>
      <c r="M34" s="335">
        <f>+SUM($D$10:M10)*('Solar Calculations'!$C$33*'ERR &amp; Sensitivity Analysis'!$D$16+'Solar Calculations'!$C$35)*12/1000*$D$28</f>
        <v>542.2353365812054</v>
      </c>
      <c r="N34" s="335">
        <f>+SUM($D$10:N10)*('Solar Calculations'!$C$33*'ERR &amp; Sensitivity Analysis'!$D$16+'Solar Calculations'!$C$35)*12/1000*$D$28</f>
        <v>542.2353365812054</v>
      </c>
      <c r="O34" s="335">
        <f>+SUM($D$10:O10)*('Solar Calculations'!$C$33*'ERR &amp; Sensitivity Analysis'!$D$16+'Solar Calculations'!$C$35)*12/1000*$D$28</f>
        <v>542.2353365812054</v>
      </c>
      <c r="P34" s="335">
        <f>+SUM($D$10:P10)*('Solar Calculations'!$C$33*'ERR &amp; Sensitivity Analysis'!$D$16+'Solar Calculations'!$C$35)*12/1000*$D$28</f>
        <v>542.2353365812054</v>
      </c>
      <c r="Q34" s="335">
        <f>+SUM($D$10:Q10)*('Solar Calculations'!$C$33*'ERR &amp; Sensitivity Analysis'!$D$16+'Solar Calculations'!$C$35)*12/1000*$D$28</f>
        <v>542.2353365812054</v>
      </c>
      <c r="R34" s="335">
        <f>+SUM($D$10:R10)*('Solar Calculations'!$C$33*'ERR &amp; Sensitivity Analysis'!$D$16+'Solar Calculations'!$C$35)*12/1000*$D$28</f>
        <v>542.2353365812054</v>
      </c>
      <c r="S34" s="335">
        <f>+SUM($D$10:S10)*('Solar Calculations'!$C$33*'ERR &amp; Sensitivity Analysis'!$D$16+'Solar Calculations'!$C$35)*12/1000*$D$28</f>
        <v>542.2353365812054</v>
      </c>
      <c r="T34" s="335">
        <f>+SUM($D$10:T10)*('Solar Calculations'!$C$33*'ERR &amp; Sensitivity Analysis'!$D$16+'Solar Calculations'!$C$35)*12/1000*$D$28</f>
        <v>542.2353365812054</v>
      </c>
      <c r="U34" s="335">
        <f>+SUM($D$10:U10)*('Solar Calculations'!$C$33*'ERR &amp; Sensitivity Analysis'!$D$16+'Solar Calculations'!$C$35)*12/1000*$D$28</f>
        <v>542.2353365812054</v>
      </c>
      <c r="V34" s="335">
        <f>+SUM($D$10:V10)*('Solar Calculations'!$C$33*'ERR &amp; Sensitivity Analysis'!$D$16+'Solar Calculations'!$C$35)*12/1000*$D$28</f>
        <v>542.2353365812054</v>
      </c>
      <c r="W34" s="335">
        <f>+SUM($D$10:W10)*('Solar Calculations'!$C$33*'ERR &amp; Sensitivity Analysis'!$D$16+'Solar Calculations'!$C$35)*12/1000*$D$28</f>
        <v>542.2353365812054</v>
      </c>
      <c r="X34" s="335">
        <f>+SUM($D$10:X10)*('Solar Calculations'!$C$33*'ERR &amp; Sensitivity Analysis'!$D$16+'Solar Calculations'!$C$35)*12/1000*$D$28</f>
        <v>542.2353365812054</v>
      </c>
      <c r="Y34" s="335">
        <f>+SUM($D$10:Y10)*('Solar Calculations'!$C$33*'ERR &amp; Sensitivity Analysis'!$D$16+'Solar Calculations'!$C$35)*12/1000*$D$28</f>
        <v>542.2353365812054</v>
      </c>
      <c r="Z34" s="335">
        <f>+SUM($D$10:Z10)*('Solar Calculations'!$C$33*'ERR &amp; Sensitivity Analysis'!$D$16+'Solar Calculations'!$C$35)*12/1000*$D$28</f>
        <v>542.2353365812054</v>
      </c>
      <c r="AA34" s="335">
        <f>+SUM($D$10:AA10)*('Solar Calculations'!$C$33*'ERR &amp; Sensitivity Analysis'!$D$16+'Solar Calculations'!$C$35)*12/1000*$D$28</f>
        <v>542.2353365812054</v>
      </c>
      <c r="AB34" s="335">
        <f>+SUM($D$10:AB10)*('Solar Calculations'!$C$33*'ERR &amp; Sensitivity Analysis'!$D$16+'Solar Calculations'!$C$35)*12/1000*$D$28</f>
        <v>542.2353365812054</v>
      </c>
    </row>
    <row r="35" spans="1:28" s="8" customFormat="1" ht="12.75">
      <c r="A35" s="102"/>
      <c r="B35" s="63" t="s">
        <v>94</v>
      </c>
      <c r="C35" s="127">
        <f>NPV(0.1,D35:AB35)</f>
        <v>46228.893502533734</v>
      </c>
      <c r="D35" s="62">
        <f aca="true" t="shared" si="2" ref="D35:AB35">((D33+D34)*$D$14-D30)*$D$48/$H$48</f>
        <v>0</v>
      </c>
      <c r="E35" s="62">
        <f t="shared" si="2"/>
        <v>397.4807003338802</v>
      </c>
      <c r="F35" s="62">
        <f t="shared" si="2"/>
        <v>1385.4165351275228</v>
      </c>
      <c r="G35" s="62">
        <f t="shared" si="2"/>
        <v>3763.154154644349</v>
      </c>
      <c r="H35" s="62">
        <f t="shared" si="2"/>
        <v>7158.960289881427</v>
      </c>
      <c r="I35" s="62">
        <f t="shared" si="2"/>
        <v>7158.960289881427</v>
      </c>
      <c r="J35" s="62">
        <f t="shared" si="2"/>
        <v>7158.960289881427</v>
      </c>
      <c r="K35" s="62">
        <f t="shared" si="2"/>
        <v>7158.960289881427</v>
      </c>
      <c r="L35" s="62">
        <f t="shared" si="2"/>
        <v>7158.960289881427</v>
      </c>
      <c r="M35" s="62">
        <f t="shared" si="2"/>
        <v>7158.960289881427</v>
      </c>
      <c r="N35" s="62">
        <f t="shared" si="2"/>
        <v>7158.960289881427</v>
      </c>
      <c r="O35" s="62">
        <f t="shared" si="2"/>
        <v>7158.960289881427</v>
      </c>
      <c r="P35" s="62">
        <f t="shared" si="2"/>
        <v>7158.960289881427</v>
      </c>
      <c r="Q35" s="62">
        <f t="shared" si="2"/>
        <v>7158.960289881427</v>
      </c>
      <c r="R35" s="62">
        <f t="shared" si="2"/>
        <v>7158.960289881427</v>
      </c>
      <c r="S35" s="62">
        <f t="shared" si="2"/>
        <v>7158.960289881427</v>
      </c>
      <c r="T35" s="62">
        <f t="shared" si="2"/>
        <v>7158.960289881427</v>
      </c>
      <c r="U35" s="62">
        <f t="shared" si="2"/>
        <v>7158.960289881427</v>
      </c>
      <c r="V35" s="62">
        <f t="shared" si="2"/>
        <v>7158.960289881427</v>
      </c>
      <c r="W35" s="62">
        <f t="shared" si="2"/>
        <v>7158.960289881427</v>
      </c>
      <c r="X35" s="62">
        <f t="shared" si="2"/>
        <v>7158.960289881427</v>
      </c>
      <c r="Y35" s="62">
        <f t="shared" si="2"/>
        <v>7158.960289881427</v>
      </c>
      <c r="Z35" s="62">
        <f t="shared" si="2"/>
        <v>7158.960289881427</v>
      </c>
      <c r="AA35" s="62">
        <f t="shared" si="2"/>
        <v>7158.960289881427</v>
      </c>
      <c r="AB35" s="62">
        <f t="shared" si="2"/>
        <v>7158.960289881427</v>
      </c>
    </row>
    <row r="36" spans="1:28" s="8" customFormat="1" ht="12.75">
      <c r="A36" s="102"/>
      <c r="C36" s="77"/>
      <c r="E36" s="62"/>
      <c r="F36" s="62"/>
      <c r="G36" s="62"/>
      <c r="H36" s="62"/>
      <c r="I36" s="77"/>
      <c r="J36" s="77"/>
      <c r="K36" s="77"/>
      <c r="L36" s="77"/>
      <c r="M36" s="77"/>
      <c r="N36" s="77"/>
      <c r="O36" s="77"/>
      <c r="P36" s="77"/>
      <c r="Q36" s="77"/>
      <c r="R36" s="77"/>
      <c r="S36" s="77"/>
      <c r="T36" s="77"/>
      <c r="U36" s="77"/>
      <c r="V36" s="77"/>
      <c r="W36" s="77"/>
      <c r="X36" s="77"/>
      <c r="Y36" s="77"/>
      <c r="Z36" s="77"/>
      <c r="AA36" s="77"/>
      <c r="AB36" s="77"/>
    </row>
    <row r="37" spans="1:28" s="2" customFormat="1" ht="12.75">
      <c r="A37" s="102"/>
      <c r="B37" s="2" t="s">
        <v>154</v>
      </c>
      <c r="C37" s="5"/>
      <c r="D37" s="96">
        <f>+D35-D29</f>
        <v>-527.7375244159894</v>
      </c>
      <c r="E37" s="96">
        <f>+E35-E29</f>
        <v>-3376.331276184647</v>
      </c>
      <c r="F37" s="96">
        <f aca="true" t="shared" si="3" ref="F37:AB37">+F35-F29</f>
        <v>-13880.922094174977</v>
      </c>
      <c r="G37" s="96">
        <f t="shared" si="3"/>
        <v>-3723.742228838801</v>
      </c>
      <c r="H37" s="96">
        <f t="shared" si="3"/>
        <v>-2974.687649188031</v>
      </c>
      <c r="I37" s="96">
        <f t="shared" si="3"/>
        <v>7158.960289881427</v>
      </c>
      <c r="J37" s="96">
        <f t="shared" si="3"/>
        <v>7158.960289881427</v>
      </c>
      <c r="K37" s="96">
        <f t="shared" si="3"/>
        <v>7158.960289881427</v>
      </c>
      <c r="L37" s="96">
        <f t="shared" si="3"/>
        <v>7158.960289881427</v>
      </c>
      <c r="M37" s="96">
        <f t="shared" si="3"/>
        <v>7158.960289881427</v>
      </c>
      <c r="N37" s="96">
        <f t="shared" si="3"/>
        <v>7158.960289881427</v>
      </c>
      <c r="O37" s="96">
        <f t="shared" si="3"/>
        <v>7158.960289881427</v>
      </c>
      <c r="P37" s="96">
        <f t="shared" si="3"/>
        <v>7158.960289881427</v>
      </c>
      <c r="Q37" s="96">
        <f t="shared" si="3"/>
        <v>7158.960289881427</v>
      </c>
      <c r="R37" s="96">
        <f t="shared" si="3"/>
        <v>7158.960289881427</v>
      </c>
      <c r="S37" s="96">
        <f t="shared" si="3"/>
        <v>7158.960289881427</v>
      </c>
      <c r="T37" s="96">
        <f t="shared" si="3"/>
        <v>7158.960289881427</v>
      </c>
      <c r="U37" s="96">
        <f t="shared" si="3"/>
        <v>7158.960289881427</v>
      </c>
      <c r="V37" s="96">
        <f t="shared" si="3"/>
        <v>7158.960289881427</v>
      </c>
      <c r="W37" s="96">
        <f t="shared" si="3"/>
        <v>7158.960289881427</v>
      </c>
      <c r="X37" s="96">
        <f t="shared" si="3"/>
        <v>7158.960289881427</v>
      </c>
      <c r="Y37" s="96">
        <f t="shared" si="3"/>
        <v>7158.960289881427</v>
      </c>
      <c r="Z37" s="96">
        <f t="shared" si="3"/>
        <v>7158.960289881427</v>
      </c>
      <c r="AA37" s="96">
        <f t="shared" si="3"/>
        <v>7158.960289881427</v>
      </c>
      <c r="AB37" s="96">
        <f t="shared" si="3"/>
        <v>7158.960289881427</v>
      </c>
    </row>
    <row r="38" spans="3:28" s="8" customFormat="1" ht="12.75">
      <c r="C38" s="77"/>
      <c r="D38" s="62"/>
      <c r="E38" s="62"/>
      <c r="F38" s="62"/>
      <c r="G38" s="62"/>
      <c r="H38" s="62"/>
      <c r="I38" s="77"/>
      <c r="J38" s="77"/>
      <c r="K38" s="77"/>
      <c r="L38" s="77"/>
      <c r="M38" s="77"/>
      <c r="N38" s="77"/>
      <c r="O38" s="77"/>
      <c r="P38" s="77"/>
      <c r="Q38" s="77"/>
      <c r="R38" s="77"/>
      <c r="S38" s="77"/>
      <c r="T38" s="77"/>
      <c r="U38" s="77"/>
      <c r="V38" s="77"/>
      <c r="W38" s="77"/>
      <c r="X38" s="77"/>
      <c r="Y38" s="77"/>
      <c r="Z38" s="77"/>
      <c r="AA38" s="77"/>
      <c r="AB38" s="77"/>
    </row>
    <row r="39" spans="1:28" s="8" customFormat="1" ht="12.75">
      <c r="A39" s="11"/>
      <c r="B39" s="83" t="s">
        <v>82</v>
      </c>
      <c r="C39" s="77"/>
      <c r="D39" s="108">
        <f>IRR(D37:W37)</f>
        <v>0.19545935863676278</v>
      </c>
      <c r="E39" s="77"/>
      <c r="F39" s="77"/>
      <c r="G39" s="77"/>
      <c r="H39" s="77"/>
      <c r="I39" s="77"/>
      <c r="J39" s="77"/>
      <c r="K39" s="77"/>
      <c r="L39" s="77"/>
      <c r="M39" s="77"/>
      <c r="N39" s="77"/>
      <c r="O39" s="77"/>
      <c r="P39" s="77"/>
      <c r="Q39" s="77"/>
      <c r="R39" s="77"/>
      <c r="S39" s="77"/>
      <c r="T39" s="77"/>
      <c r="U39" s="77"/>
      <c r="V39" s="77"/>
      <c r="W39" s="77"/>
      <c r="X39" s="77"/>
      <c r="Y39" s="77"/>
      <c r="Z39" s="77"/>
      <c r="AA39" s="77"/>
      <c r="AB39" s="77"/>
    </row>
    <row r="40" spans="1:28" s="8" customFormat="1" ht="12.75">
      <c r="A40" s="11"/>
      <c r="B40" s="83"/>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row>
    <row r="41" spans="1:28" s="8" customFormat="1" ht="12.75">
      <c r="A41" s="11"/>
      <c r="B41" s="84" t="s">
        <v>31</v>
      </c>
      <c r="C41" s="77"/>
      <c r="D41" s="109">
        <f>IRR(D37:AB37)</f>
        <v>0.2023561500887272</v>
      </c>
      <c r="E41" s="77"/>
      <c r="F41" s="77"/>
      <c r="G41" s="77"/>
      <c r="H41" s="77"/>
      <c r="I41" s="77"/>
      <c r="J41" s="77"/>
      <c r="K41" s="77"/>
      <c r="L41" s="77"/>
      <c r="M41" s="77"/>
      <c r="N41" s="77"/>
      <c r="O41" s="77"/>
      <c r="P41" s="77"/>
      <c r="Q41" s="77"/>
      <c r="R41" s="77"/>
      <c r="S41" s="77"/>
      <c r="T41" s="77"/>
      <c r="U41" s="77"/>
      <c r="V41" s="77"/>
      <c r="W41" s="77"/>
      <c r="X41" s="77"/>
      <c r="Y41" s="77"/>
      <c r="Z41" s="77"/>
      <c r="AA41" s="77"/>
      <c r="AB41" s="77"/>
    </row>
    <row r="42" spans="3:28" s="8" customFormat="1" ht="12.75">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row>
    <row r="43" spans="2:28" s="8" customFormat="1" ht="12.75">
      <c r="B43" s="83" t="s">
        <v>104</v>
      </c>
      <c r="D43" s="62">
        <f>NPV(0.1,D35:W35)</f>
        <v>42194.98905749194</v>
      </c>
      <c r="E43" s="77"/>
      <c r="F43" s="77"/>
      <c r="G43" s="77"/>
      <c r="H43" s="77"/>
      <c r="I43" s="77"/>
      <c r="J43" s="77"/>
      <c r="K43" s="77"/>
      <c r="L43" s="77"/>
      <c r="M43" s="77"/>
      <c r="N43" s="77"/>
      <c r="O43" s="77"/>
      <c r="P43" s="77"/>
      <c r="Q43" s="77"/>
      <c r="R43" s="77"/>
      <c r="S43" s="77"/>
      <c r="T43" s="77"/>
      <c r="U43" s="77"/>
      <c r="V43" s="77"/>
      <c r="W43" s="77"/>
      <c r="X43" s="77"/>
      <c r="Y43" s="77"/>
      <c r="Z43" s="77"/>
      <c r="AA43" s="77"/>
      <c r="AB43" s="77"/>
    </row>
    <row r="44" spans="2:28" s="8" customFormat="1" ht="12.75">
      <c r="B44" s="83"/>
      <c r="D44" s="62"/>
      <c r="E44" s="77"/>
      <c r="F44" s="77"/>
      <c r="G44" s="77"/>
      <c r="H44" s="77"/>
      <c r="I44" s="77"/>
      <c r="J44" s="77"/>
      <c r="K44" s="77"/>
      <c r="L44" s="77"/>
      <c r="M44" s="77"/>
      <c r="N44" s="77"/>
      <c r="O44" s="77"/>
      <c r="P44" s="77"/>
      <c r="Q44" s="77"/>
      <c r="R44" s="77"/>
      <c r="S44" s="77"/>
      <c r="T44" s="77"/>
      <c r="U44" s="77"/>
      <c r="V44" s="77"/>
      <c r="W44" s="77"/>
      <c r="X44" s="77"/>
      <c r="Y44" s="77"/>
      <c r="Z44" s="77"/>
      <c r="AA44" s="77"/>
      <c r="AB44" s="77"/>
    </row>
    <row r="45" spans="2:28" s="8" customFormat="1" ht="12.75">
      <c r="B45" s="79"/>
      <c r="C45" s="91"/>
      <c r="D45" s="92"/>
      <c r="E45" s="92"/>
      <c r="F45" s="77"/>
      <c r="G45" s="91"/>
      <c r="H45" s="92"/>
      <c r="I45" s="92"/>
      <c r="J45" s="77"/>
      <c r="K45" s="77"/>
      <c r="L45" s="77"/>
      <c r="M45" s="77"/>
      <c r="N45" s="77"/>
      <c r="O45" s="77"/>
      <c r="P45" s="77"/>
      <c r="Q45" s="77"/>
      <c r="R45" s="77"/>
      <c r="S45" s="77"/>
      <c r="T45" s="77"/>
      <c r="U45" s="77"/>
      <c r="V45" s="77"/>
      <c r="W45" s="77"/>
      <c r="X45" s="77"/>
      <c r="Y45" s="77"/>
      <c r="Z45" s="77"/>
      <c r="AA45" s="77"/>
      <c r="AB45" s="77"/>
    </row>
    <row r="46" spans="3:28" s="8" customFormat="1" ht="12.75">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row>
    <row r="47" spans="2:28" s="13" customFormat="1" ht="12.75">
      <c r="B47" s="312" t="s">
        <v>97</v>
      </c>
      <c r="C47" s="313"/>
      <c r="D47" s="314">
        <v>2007</v>
      </c>
      <c r="E47" s="314">
        <f>+D47+1</f>
        <v>2008</v>
      </c>
      <c r="F47" s="314">
        <f aca="true" t="shared" si="4" ref="F47:AB47">+E47+1</f>
        <v>2009</v>
      </c>
      <c r="G47" s="314">
        <f t="shared" si="4"/>
        <v>2010</v>
      </c>
      <c r="H47" s="314">
        <f t="shared" si="4"/>
        <v>2011</v>
      </c>
      <c r="I47" s="314">
        <f t="shared" si="4"/>
        <v>2012</v>
      </c>
      <c r="J47" s="314">
        <f t="shared" si="4"/>
        <v>2013</v>
      </c>
      <c r="K47" s="314">
        <f t="shared" si="4"/>
        <v>2014</v>
      </c>
      <c r="L47" s="314">
        <f t="shared" si="4"/>
        <v>2015</v>
      </c>
      <c r="M47" s="314">
        <f t="shared" si="4"/>
        <v>2016</v>
      </c>
      <c r="N47" s="314">
        <f t="shared" si="4"/>
        <v>2017</v>
      </c>
      <c r="O47" s="314">
        <f t="shared" si="4"/>
        <v>2018</v>
      </c>
      <c r="P47" s="314">
        <f t="shared" si="4"/>
        <v>2019</v>
      </c>
      <c r="Q47" s="314">
        <f t="shared" si="4"/>
        <v>2020</v>
      </c>
      <c r="R47" s="314">
        <f t="shared" si="4"/>
        <v>2021</v>
      </c>
      <c r="S47" s="314">
        <f t="shared" si="4"/>
        <v>2022</v>
      </c>
      <c r="T47" s="314">
        <f t="shared" si="4"/>
        <v>2023</v>
      </c>
      <c r="U47" s="314">
        <f t="shared" si="4"/>
        <v>2024</v>
      </c>
      <c r="V47" s="314">
        <f t="shared" si="4"/>
        <v>2025</v>
      </c>
      <c r="W47" s="314">
        <f t="shared" si="4"/>
        <v>2026</v>
      </c>
      <c r="X47" s="314">
        <f t="shared" si="4"/>
        <v>2027</v>
      </c>
      <c r="Y47" s="314">
        <f t="shared" si="4"/>
        <v>2028</v>
      </c>
      <c r="Z47" s="314">
        <f t="shared" si="4"/>
        <v>2029</v>
      </c>
      <c r="AA47" s="314">
        <f t="shared" si="4"/>
        <v>2030</v>
      </c>
      <c r="AB47" s="315">
        <f t="shared" si="4"/>
        <v>2031</v>
      </c>
    </row>
    <row r="48" spans="2:28" s="8" customFormat="1" ht="12.75">
      <c r="B48" s="293" t="s">
        <v>90</v>
      </c>
      <c r="C48" s="294"/>
      <c r="D48" s="295">
        <v>100</v>
      </c>
      <c r="E48" s="295">
        <v>103.79846699386299</v>
      </c>
      <c r="F48" s="295">
        <v>103.39237815258642</v>
      </c>
      <c r="G48" s="295">
        <v>105.17202720546102</v>
      </c>
      <c r="H48" s="295">
        <v>107.04219503890646</v>
      </c>
      <c r="I48" s="295">
        <v>109.38987020105134</v>
      </c>
      <c r="J48" s="295">
        <v>111.85214712208409</v>
      </c>
      <c r="K48" s="295">
        <v>114.34182881154655</v>
      </c>
      <c r="L48" s="295">
        <v>116.88403304245551</v>
      </c>
      <c r="M48" s="295">
        <v>119.48275904163445</v>
      </c>
      <c r="N48" s="295">
        <v>122.13926347849235</v>
      </c>
      <c r="O48" s="295">
        <v>124.85483096243462</v>
      </c>
      <c r="P48" s="295">
        <v>127.63077466406337</v>
      </c>
      <c r="Q48" s="295">
        <v>130.4684369501891</v>
      </c>
      <c r="R48" s="295">
        <v>133.36919003296083</v>
      </c>
      <c r="S48" s="295">
        <v>136.3344366334285</v>
      </c>
      <c r="T48" s="295">
        <v>139.36561065985876</v>
      </c>
      <c r="U48" s="295">
        <v>142.46417790113176</v>
      </c>
      <c r="V48" s="295">
        <v>145.63163673555485</v>
      </c>
      <c r="W48" s="295">
        <v>148.8695188554352</v>
      </c>
      <c r="X48" s="295">
        <v>152.17939000776235</v>
      </c>
      <c r="Y48" s="295">
        <v>155.56285075135867</v>
      </c>
      <c r="Z48" s="295">
        <v>159.0215372308636</v>
      </c>
      <c r="AA48" s="295">
        <v>162.55712196792638</v>
      </c>
      <c r="AB48" s="296">
        <v>166.17131466998956</v>
      </c>
    </row>
    <row r="49" spans="2:28" s="8" customFormat="1" ht="12.75">
      <c r="B49" s="293" t="s">
        <v>91</v>
      </c>
      <c r="C49" s="294"/>
      <c r="D49" s="297">
        <f>+AVERAGE(I49:K49)</f>
        <v>0.022233370388879514</v>
      </c>
      <c r="E49" s="298"/>
      <c r="F49" s="298"/>
      <c r="G49" s="298"/>
      <c r="H49" s="298"/>
      <c r="I49" s="297">
        <f>+I48/H48-1</f>
        <v>0.021932240471073783</v>
      </c>
      <c r="J49" s="297">
        <f>+J48/I48-1</f>
        <v>0.022509185873493154</v>
      </c>
      <c r="K49" s="297">
        <f>+K48/J48-1</f>
        <v>0.022258684822071606</v>
      </c>
      <c r="L49" s="294"/>
      <c r="M49" s="294"/>
      <c r="N49" s="294"/>
      <c r="O49" s="294"/>
      <c r="P49" s="294"/>
      <c r="Q49" s="294"/>
      <c r="R49" s="294"/>
      <c r="S49" s="294"/>
      <c r="T49" s="294"/>
      <c r="U49" s="294"/>
      <c r="V49" s="294"/>
      <c r="W49" s="294"/>
      <c r="X49" s="294"/>
      <c r="Y49" s="294"/>
      <c r="Z49" s="294"/>
      <c r="AA49" s="294"/>
      <c r="AB49" s="299"/>
    </row>
    <row r="50" spans="2:28" s="8" customFormat="1" ht="12.75">
      <c r="B50" s="300"/>
      <c r="C50" s="301"/>
      <c r="D50" s="302"/>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3"/>
    </row>
    <row r="51" spans="2:28" s="8" customFormat="1" ht="12.75">
      <c r="B51" s="304" t="s">
        <v>92</v>
      </c>
      <c r="C51" s="305"/>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7"/>
    </row>
    <row r="52" spans="2:28" s="8" customFormat="1" ht="12.75">
      <c r="B52" s="304" t="s">
        <v>93</v>
      </c>
      <c r="C52" s="305"/>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7"/>
    </row>
    <row r="53" spans="2:28" s="8" customFormat="1" ht="12.75">
      <c r="B53" s="308" t="s">
        <v>158</v>
      </c>
      <c r="C53" s="309"/>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1"/>
    </row>
    <row r="54" spans="2:28" s="8" customFormat="1" ht="12.75">
      <c r="B54" s="93"/>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row>
    <row r="55" spans="3:28" s="8" customFormat="1" ht="12.75">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row>
    <row r="56" spans="3:28" s="8" customFormat="1" ht="12.75">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sheetData>
  <sheetProtection/>
  <mergeCells count="1">
    <mergeCell ref="C3:J3"/>
  </mergeCells>
  <conditionalFormatting sqref="B5:C5">
    <cfRule type="cellIs" priority="3" dxfId="1" operator="equal" stopIfTrue="1">
      <formula>0</formula>
    </cfRule>
    <cfRule type="cellIs" priority="4" dxfId="0" operator="notEqual" stopIfTrue="1">
      <formula>0</formula>
    </cfRule>
  </conditionalFormatting>
  <conditionalFormatting sqref="C3">
    <cfRule type="cellIs" priority="1" dxfId="1" operator="equal" stopIfTrue="1">
      <formula>0</formula>
    </cfRule>
    <cfRule type="cellIs" priority="2" dxfId="0" operator="notEqual" stopIfTrue="1">
      <formula>0</formula>
    </cfRule>
  </conditionalFormatting>
  <printOptions/>
  <pageMargins left="0.5" right="0.5" top="0.5" bottom="0.5" header="0" footer="0"/>
  <pageSetup fitToHeight="2" horizontalDpi="600" verticalDpi="600" orientation="landscape" paperSize="5" scale="52" r:id="rId2"/>
  <headerFooter alignWithMargins="0">
    <oddFooter>&amp;LPage &amp;P</oddFooter>
  </headerFooter>
  <rowBreaks count="1" manualBreakCount="1">
    <brk id="55" min="1" max="22" man="1"/>
  </rowBreaks>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B2:O528"/>
  <sheetViews>
    <sheetView showGridLines="0" zoomScaleSheetLayoutView="125" zoomScalePageLayoutView="0" workbookViewId="0" topLeftCell="A1">
      <selection activeCell="A1" sqref="A1"/>
    </sheetView>
  </sheetViews>
  <sheetFormatPr defaultColWidth="11.421875" defaultRowHeight="12.75"/>
  <cols>
    <col min="1" max="1" width="7.7109375" style="16" customWidth="1"/>
    <col min="2" max="2" width="32.7109375" style="16" customWidth="1"/>
    <col min="3" max="3" width="12.140625" style="16" customWidth="1"/>
    <col min="4" max="4" width="15.28125" style="16" customWidth="1"/>
    <col min="5" max="5" width="10.7109375" style="16" customWidth="1"/>
    <col min="6" max="7" width="12.57421875" style="16" customWidth="1"/>
    <col min="8" max="8" width="6.421875" style="16" customWidth="1"/>
    <col min="9" max="16384" width="11.421875" style="16" customWidth="1"/>
  </cols>
  <sheetData>
    <row r="1" ht="12.75" customHeight="1"/>
    <row r="2" spans="2:9" ht="20.25">
      <c r="B2" s="18" t="s">
        <v>33</v>
      </c>
      <c r="I2" s="214" t="s">
        <v>183</v>
      </c>
    </row>
    <row r="3" spans="2:10" ht="18" customHeight="1">
      <c r="B3" s="17" t="s">
        <v>174</v>
      </c>
      <c r="C3" s="458">
        <f>IF('ERR &amp; Sensitivity Analysis'!$I$10="N","Note: Current calculations are based on user input and are not the original MCC estimates.",IF('ERR &amp; Sensitivity Analysis'!$I$13="N","Note: Current calculations are based on user input and are not the original MCC estimates.",0))</f>
        <v>0</v>
      </c>
      <c r="D3" s="458"/>
      <c r="E3" s="458"/>
      <c r="F3" s="458"/>
      <c r="G3" s="458"/>
      <c r="H3" s="458"/>
      <c r="I3" s="458"/>
      <c r="J3" s="458"/>
    </row>
    <row r="4" ht="12.75" customHeight="1"/>
    <row r="5" spans="2:12" ht="12.75">
      <c r="B5" s="1" t="s">
        <v>34</v>
      </c>
      <c r="C5" s="19"/>
      <c r="D5" s="19"/>
      <c r="E5" s="19"/>
      <c r="F5" s="19"/>
      <c r="G5" s="19"/>
      <c r="H5" s="19"/>
      <c r="I5" s="19"/>
      <c r="J5" s="19"/>
      <c r="K5" s="19"/>
      <c r="L5" s="19"/>
    </row>
    <row r="6" spans="2:12" ht="12.75">
      <c r="B6" s="1" t="s">
        <v>41</v>
      </c>
      <c r="C6" s="19"/>
      <c r="D6" s="19"/>
      <c r="E6" s="19"/>
      <c r="F6" s="156"/>
      <c r="G6" s="157"/>
      <c r="H6" s="19"/>
      <c r="I6" s="19"/>
      <c r="J6" s="19"/>
      <c r="K6" s="19"/>
      <c r="L6" s="19"/>
    </row>
    <row r="7" spans="2:8" ht="12.75">
      <c r="B7" s="161"/>
      <c r="C7" s="19"/>
      <c r="D7" s="19"/>
      <c r="E7" s="19"/>
      <c r="F7" s="19"/>
      <c r="G7" s="19"/>
      <c r="H7" s="19"/>
    </row>
    <row r="8" spans="2:15" ht="15">
      <c r="B8" s="317" t="s">
        <v>212</v>
      </c>
      <c r="C8" s="25"/>
      <c r="D8" s="25"/>
      <c r="E8" s="25"/>
      <c r="F8" s="25"/>
      <c r="G8" s="25"/>
      <c r="H8" s="19"/>
      <c r="I8" s="70"/>
      <c r="J8" s="68"/>
      <c r="K8" s="68"/>
      <c r="L8" s="68"/>
      <c r="M8" s="69"/>
      <c r="N8" s="69"/>
      <c r="O8" s="69"/>
    </row>
    <row r="9" spans="2:15" ht="12.75">
      <c r="B9" s="136" t="s">
        <v>210</v>
      </c>
      <c r="C9" s="336">
        <f>'ERR &amp; Sensitivity Analysis'!D15</f>
        <v>0.44</v>
      </c>
      <c r="E9" s="25"/>
      <c r="F9" s="25"/>
      <c r="G9" s="25"/>
      <c r="H9" s="19"/>
      <c r="I9" s="71"/>
      <c r="J9" s="68"/>
      <c r="K9" s="68"/>
      <c r="L9" s="68"/>
      <c r="M9" s="69"/>
      <c r="N9" s="69"/>
      <c r="O9" s="69"/>
    </row>
    <row r="10" spans="2:15" ht="12.75">
      <c r="B10" s="136" t="s">
        <v>211</v>
      </c>
      <c r="C10" s="337">
        <v>24.47</v>
      </c>
      <c r="D10" s="163"/>
      <c r="E10" s="25"/>
      <c r="F10" s="23"/>
      <c r="G10" s="25"/>
      <c r="H10" s="19"/>
      <c r="I10" s="68"/>
      <c r="J10" s="68"/>
      <c r="K10" s="68"/>
      <c r="L10" s="68"/>
      <c r="M10" s="69"/>
      <c r="N10" s="69"/>
      <c r="O10" s="69"/>
    </row>
    <row r="11" spans="2:15" ht="12.75">
      <c r="B11" s="318" t="s">
        <v>159</v>
      </c>
      <c r="E11" s="163"/>
      <c r="F11" s="25"/>
      <c r="G11" s="25"/>
      <c r="H11" s="19"/>
      <c r="I11" s="68"/>
      <c r="J11" s="68"/>
      <c r="K11" s="68"/>
      <c r="L11" s="68"/>
      <c r="M11" s="69"/>
      <c r="N11" s="69"/>
      <c r="O11" s="69"/>
    </row>
    <row r="12" spans="2:15" ht="12.75">
      <c r="B12" s="25"/>
      <c r="C12" s="25"/>
      <c r="D12" s="25"/>
      <c r="E12" s="163"/>
      <c r="F12" s="25"/>
      <c r="G12" s="25"/>
      <c r="H12" s="19"/>
      <c r="I12" s="68"/>
      <c r="J12" s="68"/>
      <c r="K12" s="68"/>
      <c r="L12" s="68"/>
      <c r="M12" s="69"/>
      <c r="N12" s="69"/>
      <c r="O12" s="69"/>
    </row>
    <row r="13" spans="2:8" ht="12.75">
      <c r="B13" s="25"/>
      <c r="C13" s="457" t="s">
        <v>36</v>
      </c>
      <c r="D13" s="457"/>
      <c r="E13" s="163"/>
      <c r="F13" s="25"/>
      <c r="G13" s="25"/>
      <c r="H13" s="19"/>
    </row>
    <row r="14" spans="2:8" ht="12.75">
      <c r="B14" s="25"/>
      <c r="C14" s="281" t="s">
        <v>37</v>
      </c>
      <c r="D14" s="281" t="s">
        <v>35</v>
      </c>
      <c r="E14" s="25"/>
      <c r="F14" s="25"/>
      <c r="G14" s="25"/>
      <c r="H14" s="19"/>
    </row>
    <row r="15" spans="2:8" ht="12.75">
      <c r="B15" s="320" t="s">
        <v>207</v>
      </c>
      <c r="C15" s="319">
        <f>AVERAGE('Consumer Surplus'!B19:B474)</f>
        <v>8.372767798245619</v>
      </c>
      <c r="D15" s="319">
        <f>AVERAGE('Consumer Surplus'!C19:C474)</f>
        <v>2.5411053269736836</v>
      </c>
      <c r="E15" s="25"/>
      <c r="F15" s="25"/>
      <c r="G15" s="25"/>
      <c r="H15" s="19"/>
    </row>
    <row r="16" spans="2:15" ht="12.75">
      <c r="B16" s="321" t="s">
        <v>209</v>
      </c>
      <c r="C16" s="319">
        <f>C10</f>
        <v>24.47</v>
      </c>
      <c r="D16" s="319">
        <f>+C9</f>
        <v>0.44</v>
      </c>
      <c r="E16" s="25"/>
      <c r="F16" s="25"/>
      <c r="G16" s="25"/>
      <c r="H16" s="19"/>
      <c r="I16" s="68"/>
      <c r="J16" s="68"/>
      <c r="K16" s="68"/>
      <c r="L16" s="68"/>
      <c r="M16" s="69"/>
      <c r="N16" s="69"/>
      <c r="O16" s="69"/>
    </row>
    <row r="17" spans="2:15" ht="12.75">
      <c r="B17" s="316" t="s">
        <v>208</v>
      </c>
      <c r="C17" s="26"/>
      <c r="D17" s="27"/>
      <c r="E17" s="25"/>
      <c r="F17" s="25"/>
      <c r="G17" s="25"/>
      <c r="H17" s="19"/>
      <c r="I17" s="72"/>
      <c r="J17" s="72"/>
      <c r="K17" s="68"/>
      <c r="L17" s="68"/>
      <c r="M17" s="69"/>
      <c r="N17" s="69"/>
      <c r="O17" s="69"/>
    </row>
    <row r="18" spans="2:12" ht="12.75">
      <c r="B18" s="25"/>
      <c r="C18" s="25"/>
      <c r="D18" s="25"/>
      <c r="E18" s="25"/>
      <c r="F18" s="25"/>
      <c r="G18" s="25"/>
      <c r="H18" s="19"/>
      <c r="I18" s="19"/>
      <c r="J18" s="20"/>
      <c r="K18" s="19"/>
      <c r="L18" s="19"/>
    </row>
    <row r="19" spans="2:12" ht="14.25">
      <c r="B19" s="25" t="s">
        <v>38</v>
      </c>
      <c r="C19" s="25"/>
      <c r="D19" s="279" t="s">
        <v>52</v>
      </c>
      <c r="E19" s="25"/>
      <c r="H19" s="19"/>
      <c r="I19" s="68"/>
      <c r="J19" s="19"/>
      <c r="K19" s="19"/>
      <c r="L19" s="19"/>
    </row>
    <row r="20" spans="2:12" ht="12.75">
      <c r="B20" s="25"/>
      <c r="C20" s="25"/>
      <c r="D20" s="25"/>
      <c r="E20" s="25"/>
      <c r="F20" s="25"/>
      <c r="G20" s="25"/>
      <c r="H20" s="19"/>
      <c r="I20" s="19"/>
      <c r="J20" s="19"/>
      <c r="K20" s="19"/>
      <c r="L20" s="19"/>
    </row>
    <row r="21" spans="3:12" ht="12.75">
      <c r="C21" s="322"/>
      <c r="D21" s="323" t="s">
        <v>67</v>
      </c>
      <c r="E21" s="25"/>
      <c r="F21" s="25"/>
      <c r="G21" s="25"/>
      <c r="H21" s="19"/>
      <c r="I21" s="19"/>
      <c r="J21" s="19"/>
      <c r="K21" s="19"/>
      <c r="L21" s="19"/>
    </row>
    <row r="22" spans="3:12" ht="12.75">
      <c r="C22" s="324" t="s">
        <v>110</v>
      </c>
      <c r="D22" s="322">
        <f>LN(C15/C16)/LN(D15/D16)</f>
        <v>-0.6115851836224407</v>
      </c>
      <c r="E22" s="25"/>
      <c r="F22" s="25"/>
      <c r="G22" s="25"/>
      <c r="H22" s="19"/>
      <c r="I22" s="19"/>
      <c r="J22" s="19"/>
      <c r="K22" s="19"/>
      <c r="L22" s="19"/>
    </row>
    <row r="23" spans="3:12" ht="12.75">
      <c r="C23" s="324" t="s">
        <v>1</v>
      </c>
      <c r="D23" s="322">
        <f>C15/D15^D22</f>
        <v>14.810676943349971</v>
      </c>
      <c r="E23" s="25"/>
      <c r="F23" s="25"/>
      <c r="G23" s="25"/>
      <c r="H23" s="19"/>
      <c r="I23" s="19"/>
      <c r="J23" s="19"/>
      <c r="K23" s="19"/>
      <c r="L23" s="19"/>
    </row>
    <row r="24" spans="2:12" ht="12.75">
      <c r="B24" s="25"/>
      <c r="C24" s="25"/>
      <c r="D24" s="25"/>
      <c r="E24" s="25"/>
      <c r="F24" s="25"/>
      <c r="G24" s="25"/>
      <c r="H24" s="19"/>
      <c r="I24" s="19"/>
      <c r="J24" s="19"/>
      <c r="K24" s="19"/>
      <c r="L24" s="19"/>
    </row>
    <row r="25" spans="2:12" ht="12.75">
      <c r="B25" s="112"/>
      <c r="C25" s="327" t="s">
        <v>107</v>
      </c>
      <c r="D25" s="327" t="s">
        <v>106</v>
      </c>
      <c r="E25" s="327" t="s">
        <v>105</v>
      </c>
      <c r="F25" s="25"/>
      <c r="G25" s="25"/>
      <c r="H25" s="19"/>
      <c r="I25" s="19"/>
      <c r="J25" s="19"/>
      <c r="K25" s="19"/>
      <c r="L25" s="19"/>
    </row>
    <row r="26" spans="2:12" ht="12.75">
      <c r="B26" s="253" t="s">
        <v>213</v>
      </c>
      <c r="C26" s="328">
        <f>D16</f>
        <v>0.44</v>
      </c>
      <c r="D26" s="329">
        <f>D23*C26^D22</f>
        <v>24.46999999999999</v>
      </c>
      <c r="E26" s="325">
        <f>$D$23*(C26^($D$22+1))/($D$22+1)</f>
        <v>27.719848847202858</v>
      </c>
      <c r="F26" s="25"/>
      <c r="G26" s="25"/>
      <c r="H26" s="19"/>
      <c r="I26" s="19"/>
      <c r="J26" s="19"/>
      <c r="K26" s="19"/>
      <c r="L26" s="19"/>
    </row>
    <row r="27" spans="2:12" ht="12.75">
      <c r="B27" s="253" t="s">
        <v>214</v>
      </c>
      <c r="C27" s="328">
        <f>D15</f>
        <v>2.5411053269736836</v>
      </c>
      <c r="D27" s="329">
        <f>D23*C27^D22</f>
        <v>8.372767798245619</v>
      </c>
      <c r="E27" s="325">
        <f>$D$23*(C27^($D$22+1))/($D$22+1)</f>
        <v>54.776707675729355</v>
      </c>
      <c r="F27" s="25"/>
      <c r="G27" s="25"/>
      <c r="H27" s="19"/>
      <c r="I27" s="19"/>
      <c r="J27" s="19"/>
      <c r="K27" s="19"/>
      <c r="L27" s="19"/>
    </row>
    <row r="28" spans="2:12" ht="12.75">
      <c r="B28" s="112"/>
      <c r="C28" s="113"/>
      <c r="D28" s="28"/>
      <c r="E28" s="111"/>
      <c r="F28" s="25"/>
      <c r="G28" s="25"/>
      <c r="H28" s="19"/>
      <c r="I28" s="19"/>
      <c r="J28" s="19"/>
      <c r="K28" s="19"/>
      <c r="L28" s="19"/>
    </row>
    <row r="29" spans="3:13" ht="12.75">
      <c r="C29" s="111"/>
      <c r="D29" s="325" t="s">
        <v>108</v>
      </c>
      <c r="E29" s="325">
        <f>E27-E26</f>
        <v>27.056858828526497</v>
      </c>
      <c r="F29" s="25"/>
      <c r="G29" s="25"/>
      <c r="H29" s="19"/>
      <c r="I29" s="19"/>
      <c r="J29" s="19"/>
      <c r="K29" s="19"/>
      <c r="L29" s="19"/>
      <c r="M29" s="78"/>
    </row>
    <row r="30" spans="3:13" ht="12.75">
      <c r="C30" s="111"/>
      <c r="D30" s="325" t="s">
        <v>109</v>
      </c>
      <c r="E30" s="326">
        <f>(D15-D16)*C15</f>
        <v>17.59206702240759</v>
      </c>
      <c r="F30" s="25"/>
      <c r="G30" s="25"/>
      <c r="H30" s="19"/>
      <c r="I30" s="19"/>
      <c r="J30" s="19"/>
      <c r="K30" s="19"/>
      <c r="L30" s="19"/>
      <c r="M30" s="78"/>
    </row>
    <row r="31" spans="3:13" ht="12.75">
      <c r="C31" s="112"/>
      <c r="D31" s="325" t="s">
        <v>101</v>
      </c>
      <c r="E31" s="325">
        <f>E29-E30</f>
        <v>9.464791806118907</v>
      </c>
      <c r="F31" s="25"/>
      <c r="G31" s="280"/>
      <c r="H31" s="19"/>
      <c r="I31" s="19"/>
      <c r="J31" s="19"/>
      <c r="K31" s="19"/>
      <c r="L31" s="19"/>
      <c r="M31" s="78"/>
    </row>
    <row r="32" spans="2:13" ht="12.75">
      <c r="B32" s="19"/>
      <c r="C32" s="19"/>
      <c r="D32" s="19"/>
      <c r="E32" s="19"/>
      <c r="F32" s="19"/>
      <c r="G32" s="19"/>
      <c r="H32" s="19"/>
      <c r="I32" s="19"/>
      <c r="J32" s="19"/>
      <c r="K32" s="19"/>
      <c r="L32" s="19"/>
      <c r="M32" s="78"/>
    </row>
    <row r="33" spans="2:8" ht="12.75">
      <c r="B33" s="29" t="s">
        <v>39</v>
      </c>
      <c r="C33" s="99">
        <f>E31</f>
        <v>9.464791806118907</v>
      </c>
      <c r="D33" s="30" t="s">
        <v>100</v>
      </c>
      <c r="E33" s="30"/>
      <c r="F33" s="99">
        <f>C33*12</f>
        <v>113.57750167342688</v>
      </c>
      <c r="G33" s="31" t="s">
        <v>84</v>
      </c>
      <c r="H33" s="19"/>
    </row>
    <row r="34" spans="2:8" ht="12.75">
      <c r="B34" s="19"/>
      <c r="C34" s="100"/>
      <c r="D34" s="19"/>
      <c r="E34" s="19"/>
      <c r="F34" s="101"/>
      <c r="G34" s="19"/>
      <c r="H34" s="19"/>
    </row>
    <row r="35" spans="2:8" ht="12.75">
      <c r="B35" s="29" t="s">
        <v>40</v>
      </c>
      <c r="C35" s="99">
        <f>(D15-D16)*C15</f>
        <v>17.59206702240759</v>
      </c>
      <c r="D35" s="30" t="s">
        <v>100</v>
      </c>
      <c r="E35" s="30"/>
      <c r="F35" s="99">
        <f>C35*12</f>
        <v>211.1048042688911</v>
      </c>
      <c r="G35" s="31" t="s">
        <v>84</v>
      </c>
      <c r="H35" s="19"/>
    </row>
    <row r="36" spans="2:12" ht="12.75">
      <c r="B36" s="19"/>
      <c r="C36" s="19"/>
      <c r="D36" s="19"/>
      <c r="E36" s="19"/>
      <c r="F36" s="19"/>
      <c r="G36" s="19"/>
      <c r="H36" s="19"/>
      <c r="I36" s="19"/>
      <c r="J36" s="19"/>
      <c r="K36" s="19"/>
      <c r="L36" s="19"/>
    </row>
    <row r="37" spans="2:12" ht="12.75">
      <c r="B37" s="19"/>
      <c r="C37" s="19"/>
      <c r="D37" s="19"/>
      <c r="E37" s="19"/>
      <c r="F37" s="19"/>
      <c r="G37" s="19"/>
      <c r="H37" s="19"/>
      <c r="I37" s="19"/>
      <c r="J37" s="19"/>
      <c r="K37" s="19"/>
      <c r="L37" s="19"/>
    </row>
    <row r="38" spans="2:8" ht="12.75">
      <c r="B38" s="29" t="s">
        <v>39</v>
      </c>
      <c r="C38" s="99">
        <v>17.647046329280002</v>
      </c>
      <c r="D38" s="30" t="s">
        <v>100</v>
      </c>
      <c r="E38" s="30"/>
      <c r="F38" s="99">
        <v>211.76455595136002</v>
      </c>
      <c r="G38" s="31" t="s">
        <v>84</v>
      </c>
      <c r="H38" s="19"/>
    </row>
    <row r="39" spans="2:8" ht="12.75">
      <c r="B39" s="19"/>
      <c r="C39" s="100"/>
      <c r="D39" s="19"/>
      <c r="E39" s="19"/>
      <c r="F39" s="101"/>
      <c r="G39" s="19"/>
      <c r="H39" s="19"/>
    </row>
    <row r="40" spans="2:8" ht="12.75">
      <c r="B40" s="29" t="s">
        <v>40</v>
      </c>
      <c r="C40" s="99">
        <v>9.286931415929205</v>
      </c>
      <c r="D40" s="30" t="s">
        <v>100</v>
      </c>
      <c r="E40" s="30"/>
      <c r="F40" s="99">
        <v>111.44317699115047</v>
      </c>
      <c r="G40" s="31" t="s">
        <v>84</v>
      </c>
      <c r="H40" s="19"/>
    </row>
    <row r="41" spans="3:4" ht="12.75">
      <c r="C41" s="110"/>
      <c r="D41" s="28"/>
    </row>
    <row r="42" spans="3:5" ht="12.75">
      <c r="C42" s="114"/>
      <c r="D42" s="28"/>
      <c r="E42" s="78"/>
    </row>
    <row r="43" spans="3:4" ht="12.75">
      <c r="C43" s="110"/>
      <c r="D43" s="28"/>
    </row>
    <row r="62" spans="2:9" ht="12.75">
      <c r="B62" s="112"/>
      <c r="C62" s="113"/>
      <c r="D62" s="28"/>
      <c r="E62" s="112"/>
      <c r="F62" s="112"/>
      <c r="G62" s="112"/>
      <c r="H62" s="112"/>
      <c r="I62" s="112"/>
    </row>
    <row r="63" spans="2:9" ht="12.75">
      <c r="B63" s="112"/>
      <c r="C63" s="113"/>
      <c r="D63" s="28"/>
      <c r="E63" s="112"/>
      <c r="F63" s="112"/>
      <c r="G63" s="112"/>
      <c r="H63" s="112"/>
      <c r="I63" s="112"/>
    </row>
    <row r="64" spans="2:9" ht="12.75">
      <c r="B64" s="112"/>
      <c r="C64" s="113"/>
      <c r="D64" s="28"/>
      <c r="E64" s="112"/>
      <c r="F64" s="112"/>
      <c r="G64" s="112"/>
      <c r="H64" s="112"/>
      <c r="I64" s="112"/>
    </row>
    <row r="65" spans="2:9" ht="12.75">
      <c r="B65" s="112"/>
      <c r="C65" s="113"/>
      <c r="D65" s="28"/>
      <c r="E65" s="112"/>
      <c r="F65" s="112"/>
      <c r="G65" s="112"/>
      <c r="H65" s="112"/>
      <c r="I65" s="112"/>
    </row>
    <row r="66" spans="2:9" ht="12.75">
      <c r="B66" s="112"/>
      <c r="C66" s="113"/>
      <c r="D66" s="28"/>
      <c r="E66" s="112"/>
      <c r="F66" s="112"/>
      <c r="G66" s="112"/>
      <c r="H66" s="112"/>
      <c r="I66" s="112"/>
    </row>
    <row r="67" spans="2:9" ht="12.75">
      <c r="B67" s="112"/>
      <c r="C67" s="113"/>
      <c r="D67" s="28"/>
      <c r="E67" s="112"/>
      <c r="F67" s="112"/>
      <c r="G67" s="112"/>
      <c r="H67" s="112"/>
      <c r="I67" s="112"/>
    </row>
    <row r="68" spans="2:9" ht="12.75">
      <c r="B68" s="112"/>
      <c r="C68" s="113"/>
      <c r="D68" s="28"/>
      <c r="E68" s="112"/>
      <c r="F68" s="112"/>
      <c r="G68" s="112"/>
      <c r="H68" s="112"/>
      <c r="I68" s="112"/>
    </row>
    <row r="69" spans="2:9" ht="12.75">
      <c r="B69" s="112"/>
      <c r="C69" s="113"/>
      <c r="D69" s="28"/>
      <c r="E69" s="112"/>
      <c r="F69" s="112"/>
      <c r="G69" s="112"/>
      <c r="H69" s="112"/>
      <c r="I69" s="112"/>
    </row>
    <row r="70" spans="2:9" ht="12.75">
      <c r="B70" s="112"/>
      <c r="C70" s="113"/>
      <c r="D70" s="28"/>
      <c r="E70" s="112"/>
      <c r="F70" s="112"/>
      <c r="G70" s="112"/>
      <c r="H70" s="112"/>
      <c r="I70" s="112"/>
    </row>
    <row r="71" spans="2:9" ht="12.75">
      <c r="B71" s="112"/>
      <c r="C71" s="113"/>
      <c r="D71" s="28"/>
      <c r="E71" s="112"/>
      <c r="F71" s="112"/>
      <c r="G71" s="112"/>
      <c r="H71" s="112"/>
      <c r="I71" s="112"/>
    </row>
    <row r="72" spans="2:9" ht="12.75">
      <c r="B72" s="112"/>
      <c r="C72" s="113"/>
      <c r="D72" s="28"/>
      <c r="E72" s="112"/>
      <c r="F72" s="112"/>
      <c r="G72" s="112"/>
      <c r="H72" s="112"/>
      <c r="I72" s="112"/>
    </row>
    <row r="73" spans="2:9" ht="12.75">
      <c r="B73" s="112"/>
      <c r="C73" s="113"/>
      <c r="D73" s="28"/>
      <c r="E73" s="112"/>
      <c r="F73" s="112"/>
      <c r="G73" s="112"/>
      <c r="H73" s="112"/>
      <c r="I73" s="112"/>
    </row>
    <row r="74" spans="2:9" ht="12.75">
      <c r="B74" s="112"/>
      <c r="C74" s="113"/>
      <c r="D74" s="28"/>
      <c r="E74" s="112"/>
      <c r="F74" s="112"/>
      <c r="G74" s="112"/>
      <c r="H74" s="112"/>
      <c r="I74" s="112"/>
    </row>
    <row r="75" spans="2:9" ht="12.75">
      <c r="B75" s="112"/>
      <c r="C75" s="113"/>
      <c r="D75" s="28"/>
      <c r="E75" s="112"/>
      <c r="F75" s="112"/>
      <c r="G75" s="112"/>
      <c r="H75" s="112"/>
      <c r="I75" s="112"/>
    </row>
    <row r="76" spans="2:9" ht="12.75">
      <c r="B76" s="112"/>
      <c r="C76" s="113"/>
      <c r="D76" s="28"/>
      <c r="E76" s="112"/>
      <c r="F76" s="112"/>
      <c r="G76" s="112"/>
      <c r="H76" s="112"/>
      <c r="I76" s="112"/>
    </row>
    <row r="77" spans="2:9" ht="12.75">
      <c r="B77" s="112"/>
      <c r="C77" s="113"/>
      <c r="D77" s="28"/>
      <c r="E77" s="112"/>
      <c r="F77" s="112"/>
      <c r="G77" s="112"/>
      <c r="H77" s="112"/>
      <c r="I77" s="112"/>
    </row>
    <row r="78" spans="2:9" ht="12.75">
      <c r="B78" s="112"/>
      <c r="C78" s="113"/>
      <c r="D78" s="28"/>
      <c r="E78" s="112"/>
      <c r="F78" s="112"/>
      <c r="G78" s="112"/>
      <c r="H78" s="112"/>
      <c r="I78" s="112"/>
    </row>
    <row r="79" spans="2:9" ht="12.75">
      <c r="B79" s="112"/>
      <c r="C79" s="113"/>
      <c r="D79" s="28"/>
      <c r="E79" s="112"/>
      <c r="F79" s="112"/>
      <c r="G79" s="112"/>
      <c r="H79" s="112"/>
      <c r="I79" s="112"/>
    </row>
    <row r="80" spans="2:9" ht="12.75">
      <c r="B80" s="112"/>
      <c r="C80" s="113"/>
      <c r="D80" s="28"/>
      <c r="E80" s="112"/>
      <c r="F80" s="112"/>
      <c r="G80" s="112"/>
      <c r="H80" s="112"/>
      <c r="I80" s="112"/>
    </row>
    <row r="81" spans="2:9" ht="12.75">
      <c r="B81" s="112"/>
      <c r="C81" s="113"/>
      <c r="D81" s="28"/>
      <c r="E81" s="112"/>
      <c r="F81" s="112"/>
      <c r="G81" s="112"/>
      <c r="H81" s="112"/>
      <c r="I81" s="112"/>
    </row>
    <row r="82" spans="2:9" ht="12.75">
      <c r="B82" s="112"/>
      <c r="C82" s="113"/>
      <c r="D82" s="28"/>
      <c r="E82" s="112"/>
      <c r="F82" s="112"/>
      <c r="G82" s="112"/>
      <c r="H82" s="112"/>
      <c r="I82" s="112"/>
    </row>
    <row r="83" spans="2:9" ht="12.75">
      <c r="B83" s="112"/>
      <c r="C83" s="113"/>
      <c r="D83" s="28"/>
      <c r="E83" s="112"/>
      <c r="F83" s="112"/>
      <c r="G83" s="112"/>
      <c r="H83" s="112"/>
      <c r="I83" s="112"/>
    </row>
    <row r="84" spans="2:9" ht="12.75">
      <c r="B84" s="112"/>
      <c r="C84" s="113"/>
      <c r="D84" s="28"/>
      <c r="E84" s="112"/>
      <c r="F84" s="112"/>
      <c r="G84" s="112"/>
      <c r="H84" s="112"/>
      <c r="I84" s="112"/>
    </row>
    <row r="85" spans="2:9" ht="12.75">
      <c r="B85" s="112"/>
      <c r="C85" s="113"/>
      <c r="D85" s="28"/>
      <c r="E85" s="112"/>
      <c r="F85" s="112"/>
      <c r="G85" s="112"/>
      <c r="H85" s="112"/>
      <c r="I85" s="112"/>
    </row>
    <row r="86" spans="2:9" ht="12.75">
      <c r="B86" s="112"/>
      <c r="C86" s="113"/>
      <c r="D86" s="28"/>
      <c r="E86" s="112"/>
      <c r="F86" s="112"/>
      <c r="G86" s="112"/>
      <c r="H86" s="112"/>
      <c r="I86" s="112"/>
    </row>
    <row r="87" spans="2:9" ht="12.75">
      <c r="B87" s="112"/>
      <c r="C87" s="113"/>
      <c r="D87" s="28"/>
      <c r="E87" s="112"/>
      <c r="F87" s="112"/>
      <c r="G87" s="112"/>
      <c r="H87" s="112"/>
      <c r="I87" s="112"/>
    </row>
    <row r="88" spans="3:9" ht="12.75">
      <c r="C88" s="110"/>
      <c r="D88" s="28"/>
      <c r="F88" s="112"/>
      <c r="G88" s="112"/>
      <c r="H88" s="112"/>
      <c r="I88" s="112"/>
    </row>
    <row r="89" spans="3:9" ht="12.75">
      <c r="C89" s="110"/>
      <c r="D89" s="28"/>
      <c r="F89" s="112"/>
      <c r="G89" s="112"/>
      <c r="H89" s="112"/>
      <c r="I89" s="112"/>
    </row>
    <row r="90" spans="3:9" ht="12.75">
      <c r="C90" s="110"/>
      <c r="D90" s="28"/>
      <c r="F90" s="112"/>
      <c r="G90" s="112"/>
      <c r="H90" s="112"/>
      <c r="I90" s="112"/>
    </row>
    <row r="91" spans="3:9" ht="12.75">
      <c r="C91" s="110"/>
      <c r="D91" s="28"/>
      <c r="F91" s="112"/>
      <c r="G91" s="112"/>
      <c r="H91" s="112"/>
      <c r="I91" s="112"/>
    </row>
    <row r="92" spans="3:4" ht="12.75">
      <c r="C92" s="110"/>
      <c r="D92" s="28"/>
    </row>
    <row r="93" spans="3:4" ht="12.75">
      <c r="C93" s="110"/>
      <c r="D93" s="28"/>
    </row>
    <row r="94" spans="3:4" ht="12.75">
      <c r="C94" s="110"/>
      <c r="D94" s="28"/>
    </row>
    <row r="95" spans="3:4" ht="12.75">
      <c r="C95" s="110"/>
      <c r="D95" s="28"/>
    </row>
    <row r="96" spans="3:4" ht="12.75">
      <c r="C96" s="110"/>
      <c r="D96" s="28"/>
    </row>
    <row r="97" spans="3:4" ht="12.75">
      <c r="C97" s="110"/>
      <c r="D97" s="28"/>
    </row>
    <row r="98" spans="3:4" ht="12.75">
      <c r="C98" s="110"/>
      <c r="D98" s="28"/>
    </row>
    <row r="99" spans="3:4" ht="12.75">
      <c r="C99" s="110"/>
      <c r="D99" s="28"/>
    </row>
    <row r="100" spans="3:4" ht="12.75">
      <c r="C100" s="110"/>
      <c r="D100" s="28"/>
    </row>
    <row r="101" spans="3:4" ht="12.75">
      <c r="C101" s="110"/>
      <c r="D101" s="28"/>
    </row>
    <row r="102" spans="3:4" ht="12.75">
      <c r="C102" s="110"/>
      <c r="D102" s="28"/>
    </row>
    <row r="103" spans="3:4" ht="12.75">
      <c r="C103" s="110"/>
      <c r="D103" s="28"/>
    </row>
    <row r="104" spans="3:4" ht="12.75">
      <c r="C104" s="110"/>
      <c r="D104" s="28"/>
    </row>
    <row r="105" spans="3:4" ht="12.75">
      <c r="C105" s="110"/>
      <c r="D105" s="28"/>
    </row>
    <row r="106" spans="3:4" ht="12.75">
      <c r="C106" s="110"/>
      <c r="D106" s="28"/>
    </row>
    <row r="107" spans="3:4" ht="12.75">
      <c r="C107" s="110"/>
      <c r="D107" s="28"/>
    </row>
    <row r="108" spans="3:4" ht="12.75">
      <c r="C108" s="110"/>
      <c r="D108" s="28"/>
    </row>
    <row r="109" spans="3:4" ht="12.75">
      <c r="C109" s="110"/>
      <c r="D109" s="28"/>
    </row>
    <row r="110" spans="3:4" ht="12.75">
      <c r="C110" s="110"/>
      <c r="D110" s="28"/>
    </row>
    <row r="111" spans="3:4" ht="12.75">
      <c r="C111" s="110"/>
      <c r="D111" s="28"/>
    </row>
    <row r="112" spans="3:4" ht="12.75">
      <c r="C112" s="110"/>
      <c r="D112" s="28"/>
    </row>
    <row r="113" spans="3:4" ht="12.75">
      <c r="C113" s="110"/>
      <c r="D113" s="28"/>
    </row>
    <row r="114" spans="3:4" ht="12.75">
      <c r="C114" s="110"/>
      <c r="D114" s="28"/>
    </row>
    <row r="115" spans="3:4" ht="12.75">
      <c r="C115" s="110"/>
      <c r="D115" s="28"/>
    </row>
    <row r="116" spans="3:4" ht="12.75">
      <c r="C116" s="110"/>
      <c r="D116" s="28"/>
    </row>
    <row r="117" spans="3:4" ht="12.75">
      <c r="C117" s="110"/>
      <c r="D117" s="28"/>
    </row>
    <row r="118" spans="3:4" ht="12.75">
      <c r="C118" s="110"/>
      <c r="D118" s="28"/>
    </row>
    <row r="119" spans="3:4" ht="12.75">
      <c r="C119" s="110"/>
      <c r="D119" s="28"/>
    </row>
    <row r="120" spans="3:4" ht="12.75">
      <c r="C120" s="110"/>
      <c r="D120" s="28"/>
    </row>
    <row r="121" spans="3:4" ht="12.75">
      <c r="C121" s="110"/>
      <c r="D121" s="28"/>
    </row>
    <row r="122" spans="3:4" ht="12.75">
      <c r="C122" s="110"/>
      <c r="D122" s="28"/>
    </row>
    <row r="123" spans="3:4" ht="12.75">
      <c r="C123" s="110"/>
      <c r="D123" s="28"/>
    </row>
    <row r="124" spans="3:4" ht="12.75">
      <c r="C124" s="110"/>
      <c r="D124" s="28"/>
    </row>
    <row r="125" spans="3:4" ht="12.75">
      <c r="C125" s="110"/>
      <c r="D125" s="28"/>
    </row>
    <row r="126" spans="3:4" ht="12.75">
      <c r="C126" s="110"/>
      <c r="D126" s="28"/>
    </row>
    <row r="127" spans="3:4" ht="12.75">
      <c r="C127" s="110"/>
      <c r="D127" s="28"/>
    </row>
    <row r="128" spans="3:4" ht="12.75">
      <c r="C128" s="110"/>
      <c r="D128" s="28"/>
    </row>
    <row r="129" spans="3:4" ht="12.75">
      <c r="C129" s="110"/>
      <c r="D129" s="28"/>
    </row>
    <row r="130" spans="3:4" ht="12.75">
      <c r="C130" s="110"/>
      <c r="D130" s="28"/>
    </row>
    <row r="131" spans="3:4" ht="12.75">
      <c r="C131" s="110"/>
      <c r="D131" s="28"/>
    </row>
    <row r="132" spans="3:4" ht="12.75">
      <c r="C132" s="110"/>
      <c r="D132" s="28"/>
    </row>
    <row r="133" spans="3:4" ht="12.75">
      <c r="C133" s="110"/>
      <c r="D133" s="28"/>
    </row>
    <row r="134" spans="3:4" ht="12.75">
      <c r="C134" s="110"/>
      <c r="D134" s="28"/>
    </row>
    <row r="135" spans="3:4" ht="12.75">
      <c r="C135" s="110"/>
      <c r="D135" s="28"/>
    </row>
    <row r="136" spans="3:4" ht="12.75">
      <c r="C136" s="110"/>
      <c r="D136" s="28"/>
    </row>
    <row r="137" spans="3:4" ht="12.75">
      <c r="C137" s="110"/>
      <c r="D137" s="28"/>
    </row>
    <row r="138" spans="3:4" ht="12.75">
      <c r="C138" s="110"/>
      <c r="D138" s="28"/>
    </row>
    <row r="139" spans="3:4" ht="12.75">
      <c r="C139" s="110"/>
      <c r="D139" s="28"/>
    </row>
    <row r="140" spans="3:4" ht="12.75">
      <c r="C140" s="110"/>
      <c r="D140" s="28"/>
    </row>
    <row r="141" spans="3:4" ht="12.75">
      <c r="C141" s="110"/>
      <c r="D141" s="28"/>
    </row>
    <row r="142" spans="3:4" ht="12.75">
      <c r="C142" s="110"/>
      <c r="D142" s="28"/>
    </row>
    <row r="143" spans="3:4" ht="12.75">
      <c r="C143" s="110"/>
      <c r="D143" s="28"/>
    </row>
    <row r="144" spans="3:4" ht="12.75">
      <c r="C144" s="110"/>
      <c r="D144" s="28"/>
    </row>
    <row r="145" spans="3:4" ht="12.75">
      <c r="C145" s="110"/>
      <c r="D145" s="28"/>
    </row>
    <row r="146" spans="3:4" ht="12.75">
      <c r="C146" s="110"/>
      <c r="D146" s="28"/>
    </row>
    <row r="147" spans="3:4" ht="12.75">
      <c r="C147" s="110"/>
      <c r="D147" s="28"/>
    </row>
    <row r="148" spans="3:4" ht="12.75">
      <c r="C148" s="110"/>
      <c r="D148" s="28"/>
    </row>
    <row r="149" spans="3:4" ht="12.75">
      <c r="C149" s="110"/>
      <c r="D149" s="28"/>
    </row>
    <row r="150" spans="3:4" ht="12.75">
      <c r="C150" s="110"/>
      <c r="D150" s="28"/>
    </row>
    <row r="151" spans="3:4" ht="12.75">
      <c r="C151" s="110"/>
      <c r="D151" s="28"/>
    </row>
    <row r="152" spans="3:4" ht="12.75">
      <c r="C152" s="110"/>
      <c r="D152" s="28"/>
    </row>
    <row r="153" spans="3:4" ht="12.75">
      <c r="C153" s="110"/>
      <c r="D153" s="28"/>
    </row>
    <row r="154" spans="3:4" ht="12.75">
      <c r="C154" s="110"/>
      <c r="D154" s="28"/>
    </row>
    <row r="155" spans="3:4" ht="12.75">
      <c r="C155" s="110"/>
      <c r="D155" s="28"/>
    </row>
    <row r="156" spans="3:4" ht="12.75">
      <c r="C156" s="110"/>
      <c r="D156" s="28"/>
    </row>
    <row r="157" spans="3:4" ht="12.75">
      <c r="C157" s="110"/>
      <c r="D157" s="28"/>
    </row>
    <row r="158" spans="3:4" ht="12.75">
      <c r="C158" s="110"/>
      <c r="D158" s="28"/>
    </row>
    <row r="159" spans="3:4" ht="12.75">
      <c r="C159" s="110"/>
      <c r="D159" s="28"/>
    </row>
    <row r="160" spans="3:4" ht="12.75">
      <c r="C160" s="110"/>
      <c r="D160" s="28"/>
    </row>
    <row r="161" spans="3:4" ht="12.75">
      <c r="C161" s="110"/>
      <c r="D161" s="28"/>
    </row>
    <row r="162" spans="3:4" ht="12.75">
      <c r="C162" s="110"/>
      <c r="D162" s="28"/>
    </row>
    <row r="163" spans="3:4" ht="12.75">
      <c r="C163" s="110"/>
      <c r="D163" s="28"/>
    </row>
    <row r="164" spans="3:4" ht="12.75">
      <c r="C164" s="110"/>
      <c r="D164" s="28"/>
    </row>
    <row r="165" spans="3:4" ht="12.75">
      <c r="C165" s="110"/>
      <c r="D165" s="28"/>
    </row>
    <row r="166" spans="3:4" ht="12.75">
      <c r="C166" s="110"/>
      <c r="D166" s="28"/>
    </row>
    <row r="167" spans="3:4" ht="12.75">
      <c r="C167" s="110"/>
      <c r="D167" s="28"/>
    </row>
    <row r="168" spans="3:4" ht="12.75">
      <c r="C168" s="110"/>
      <c r="D168" s="28"/>
    </row>
    <row r="169" spans="3:4" ht="12.75">
      <c r="C169" s="110"/>
      <c r="D169" s="28"/>
    </row>
    <row r="170" spans="3:4" ht="12.75">
      <c r="C170" s="110"/>
      <c r="D170" s="28"/>
    </row>
    <row r="171" spans="3:4" ht="12.75">
      <c r="C171" s="110"/>
      <c r="D171" s="28"/>
    </row>
    <row r="172" spans="3:4" ht="12.75">
      <c r="C172" s="110"/>
      <c r="D172" s="28"/>
    </row>
    <row r="173" spans="3:4" ht="12.75">
      <c r="C173" s="110"/>
      <c r="D173" s="28"/>
    </row>
    <row r="174" spans="3:4" ht="12.75">
      <c r="C174" s="110"/>
      <c r="D174" s="28"/>
    </row>
    <row r="175" spans="3:4" ht="12.75">
      <c r="C175" s="110"/>
      <c r="D175" s="28"/>
    </row>
    <row r="176" spans="3:4" ht="12.75">
      <c r="C176" s="110"/>
      <c r="D176" s="28"/>
    </row>
    <row r="177" spans="3:4" ht="12.75">
      <c r="C177" s="110"/>
      <c r="D177" s="28"/>
    </row>
    <row r="178" spans="3:4" ht="12.75">
      <c r="C178" s="110"/>
      <c r="D178" s="28"/>
    </row>
    <row r="179" spans="3:4" ht="12.75">
      <c r="C179" s="110"/>
      <c r="D179" s="28"/>
    </row>
    <row r="180" spans="3:4" ht="12.75">
      <c r="C180" s="110"/>
      <c r="D180" s="28"/>
    </row>
    <row r="181" spans="3:4" ht="12.75">
      <c r="C181" s="110"/>
      <c r="D181" s="28"/>
    </row>
    <row r="182" spans="3:4" ht="12.75">
      <c r="C182" s="110"/>
      <c r="D182" s="28"/>
    </row>
    <row r="183" spans="3:4" ht="12.75">
      <c r="C183" s="110"/>
      <c r="D183" s="28"/>
    </row>
    <row r="184" spans="3:4" ht="12.75">
      <c r="C184" s="110"/>
      <c r="D184" s="28"/>
    </row>
    <row r="185" spans="3:4" ht="12.75">
      <c r="C185" s="110"/>
      <c r="D185" s="28"/>
    </row>
    <row r="186" spans="3:4" ht="12.75">
      <c r="C186" s="110"/>
      <c r="D186" s="28"/>
    </row>
    <row r="187" spans="3:4" ht="12.75">
      <c r="C187" s="110"/>
      <c r="D187" s="28"/>
    </row>
    <row r="188" spans="3:4" ht="12.75">
      <c r="C188" s="110"/>
      <c r="D188" s="28"/>
    </row>
    <row r="189" spans="3:4" ht="12.75">
      <c r="C189" s="110"/>
      <c r="D189" s="28"/>
    </row>
    <row r="190" spans="3:4" ht="12.75">
      <c r="C190" s="110"/>
      <c r="D190" s="28"/>
    </row>
    <row r="191" spans="3:4" ht="12.75">
      <c r="C191" s="110"/>
      <c r="D191" s="28"/>
    </row>
    <row r="192" spans="3:4" ht="12.75">
      <c r="C192" s="110"/>
      <c r="D192" s="28"/>
    </row>
    <row r="193" spans="3:4" ht="12.75">
      <c r="C193" s="110"/>
      <c r="D193" s="28"/>
    </row>
    <row r="194" spans="3:4" ht="12.75">
      <c r="C194" s="110"/>
      <c r="D194" s="28"/>
    </row>
    <row r="195" spans="3:4" ht="12.75">
      <c r="C195" s="110"/>
      <c r="D195" s="28"/>
    </row>
    <row r="196" spans="3:4" ht="12.75">
      <c r="C196" s="110"/>
      <c r="D196" s="28"/>
    </row>
    <row r="197" spans="3:4" ht="12.75">
      <c r="C197" s="110"/>
      <c r="D197" s="28"/>
    </row>
    <row r="198" spans="3:4" ht="12.75">
      <c r="C198" s="110"/>
      <c r="D198" s="28"/>
    </row>
    <row r="199" spans="3:4" ht="12.75">
      <c r="C199" s="110"/>
      <c r="D199" s="28"/>
    </row>
    <row r="200" spans="3:4" ht="12.75">
      <c r="C200" s="110"/>
      <c r="D200" s="28"/>
    </row>
    <row r="201" spans="3:4" ht="12.75">
      <c r="C201" s="110"/>
      <c r="D201" s="28"/>
    </row>
    <row r="202" spans="3:4" ht="12.75">
      <c r="C202" s="110"/>
      <c r="D202" s="28"/>
    </row>
    <row r="203" spans="3:4" ht="12.75">
      <c r="C203" s="110"/>
      <c r="D203" s="28"/>
    </row>
    <row r="204" spans="3:4" ht="12.75">
      <c r="C204" s="110"/>
      <c r="D204" s="28"/>
    </row>
    <row r="205" spans="3:4" ht="12.75">
      <c r="C205" s="110"/>
      <c r="D205" s="28"/>
    </row>
    <row r="206" spans="3:4" ht="12.75">
      <c r="C206" s="110"/>
      <c r="D206" s="28"/>
    </row>
    <row r="207" spans="3:4" ht="12.75">
      <c r="C207" s="110"/>
      <c r="D207" s="28"/>
    </row>
    <row r="208" spans="3:4" ht="12.75">
      <c r="C208" s="110"/>
      <c r="D208" s="28"/>
    </row>
    <row r="209" spans="3:4" ht="12.75">
      <c r="C209" s="110"/>
      <c r="D209" s="28"/>
    </row>
    <row r="210" spans="3:4" ht="12.75">
      <c r="C210" s="110"/>
      <c r="D210" s="28"/>
    </row>
    <row r="211" spans="3:4" ht="12.75">
      <c r="C211" s="110"/>
      <c r="D211" s="28"/>
    </row>
    <row r="212" spans="3:4" ht="12.75">
      <c r="C212" s="110"/>
      <c r="D212" s="28"/>
    </row>
    <row r="213" spans="3:4" ht="12.75">
      <c r="C213" s="110"/>
      <c r="D213" s="28"/>
    </row>
    <row r="214" spans="3:4" ht="12.75">
      <c r="C214" s="110"/>
      <c r="D214" s="28"/>
    </row>
    <row r="215" spans="3:4" ht="12.75">
      <c r="C215" s="110"/>
      <c r="D215" s="28"/>
    </row>
    <row r="216" spans="3:4" ht="12.75">
      <c r="C216" s="110"/>
      <c r="D216" s="28"/>
    </row>
    <row r="217" spans="3:4" ht="12.75">
      <c r="C217" s="110"/>
      <c r="D217" s="28"/>
    </row>
    <row r="218" spans="3:4" ht="12.75">
      <c r="C218" s="110"/>
      <c r="D218" s="28"/>
    </row>
    <row r="219" spans="3:4" ht="12.75">
      <c r="C219" s="110"/>
      <c r="D219" s="28"/>
    </row>
    <row r="220" spans="3:4" ht="12.75">
      <c r="C220" s="110"/>
      <c r="D220" s="28"/>
    </row>
    <row r="221" spans="3:4" ht="12.75">
      <c r="C221" s="110"/>
      <c r="D221" s="28"/>
    </row>
    <row r="222" spans="3:4" ht="12.75">
      <c r="C222" s="110"/>
      <c r="D222" s="28"/>
    </row>
    <row r="223" spans="3:4" ht="12.75">
      <c r="C223" s="110"/>
      <c r="D223" s="28"/>
    </row>
    <row r="224" spans="3:4" ht="12.75">
      <c r="C224" s="110"/>
      <c r="D224" s="28"/>
    </row>
    <row r="225" spans="3:4" ht="12.75">
      <c r="C225" s="110"/>
      <c r="D225" s="28"/>
    </row>
    <row r="226" spans="3:4" ht="12.75">
      <c r="C226" s="110"/>
      <c r="D226" s="28"/>
    </row>
    <row r="227" spans="3:4" ht="12.75">
      <c r="C227" s="110"/>
      <c r="D227" s="28"/>
    </row>
    <row r="228" spans="3:4" ht="12.75">
      <c r="C228" s="110"/>
      <c r="D228" s="28"/>
    </row>
    <row r="229" spans="3:4" ht="12.75">
      <c r="C229" s="110"/>
      <c r="D229" s="28"/>
    </row>
    <row r="230" spans="3:4" ht="12.75">
      <c r="C230" s="110"/>
      <c r="D230" s="28"/>
    </row>
    <row r="231" spans="3:4" ht="12.75">
      <c r="C231" s="110"/>
      <c r="D231" s="28"/>
    </row>
    <row r="232" spans="3:4" ht="12.75">
      <c r="C232" s="110"/>
      <c r="D232" s="28"/>
    </row>
    <row r="233" spans="3:4" ht="12.75">
      <c r="C233" s="110"/>
      <c r="D233" s="28"/>
    </row>
    <row r="234" spans="3:4" ht="12.75">
      <c r="C234" s="110"/>
      <c r="D234" s="28"/>
    </row>
    <row r="235" spans="3:4" ht="12.75">
      <c r="C235" s="110"/>
      <c r="D235" s="28"/>
    </row>
    <row r="236" spans="3:4" ht="12.75">
      <c r="C236" s="110"/>
      <c r="D236" s="28"/>
    </row>
    <row r="237" spans="3:4" ht="12.75">
      <c r="C237" s="110"/>
      <c r="D237" s="28"/>
    </row>
    <row r="238" spans="3:4" ht="12.75">
      <c r="C238" s="110"/>
      <c r="D238" s="28"/>
    </row>
    <row r="239" spans="3:4" ht="12.75">
      <c r="C239" s="110"/>
      <c r="D239" s="28"/>
    </row>
    <row r="240" spans="3:4" ht="12.75">
      <c r="C240" s="110"/>
      <c r="D240" s="28"/>
    </row>
    <row r="241" spans="3:4" ht="12.75">
      <c r="C241" s="110"/>
      <c r="D241" s="28"/>
    </row>
    <row r="242" spans="3:4" ht="12.75">
      <c r="C242" s="110"/>
      <c r="D242" s="28"/>
    </row>
    <row r="243" spans="3:4" ht="12.75">
      <c r="C243" s="110"/>
      <c r="D243" s="28"/>
    </row>
    <row r="244" spans="3:4" ht="12.75">
      <c r="C244" s="110"/>
      <c r="D244" s="28"/>
    </row>
    <row r="245" spans="3:4" ht="12.75">
      <c r="C245" s="110"/>
      <c r="D245" s="28"/>
    </row>
    <row r="246" spans="3:4" ht="12.75">
      <c r="C246" s="110"/>
      <c r="D246" s="28"/>
    </row>
    <row r="247" spans="3:4" ht="12.75">
      <c r="C247" s="110"/>
      <c r="D247" s="28"/>
    </row>
    <row r="248" spans="3:4" ht="12.75">
      <c r="C248" s="110"/>
      <c r="D248" s="28"/>
    </row>
    <row r="249" spans="3:4" ht="12.75">
      <c r="C249" s="110"/>
      <c r="D249" s="28"/>
    </row>
    <row r="250" spans="3:4" ht="12.75">
      <c r="C250" s="110"/>
      <c r="D250" s="28"/>
    </row>
    <row r="251" spans="3:4" ht="12.75">
      <c r="C251" s="110"/>
      <c r="D251" s="28"/>
    </row>
    <row r="252" spans="3:4" ht="12.75">
      <c r="C252" s="110"/>
      <c r="D252" s="28"/>
    </row>
    <row r="253" spans="3:4" ht="12.75">
      <c r="C253" s="110"/>
      <c r="D253" s="28"/>
    </row>
    <row r="254" spans="3:4" ht="12.75">
      <c r="C254" s="110"/>
      <c r="D254" s="28"/>
    </row>
    <row r="255" spans="3:4" ht="12.75">
      <c r="C255" s="110"/>
      <c r="D255" s="28"/>
    </row>
    <row r="256" spans="3:4" ht="12.75">
      <c r="C256" s="110"/>
      <c r="D256" s="28"/>
    </row>
    <row r="257" spans="3:4" ht="12.75">
      <c r="C257" s="110"/>
      <c r="D257" s="28"/>
    </row>
    <row r="258" spans="3:4" ht="12.75">
      <c r="C258" s="110"/>
      <c r="D258" s="28"/>
    </row>
    <row r="259" spans="3:4" ht="12.75">
      <c r="C259" s="110"/>
      <c r="D259" s="28"/>
    </row>
    <row r="260" spans="3:4" ht="12.75">
      <c r="C260" s="110"/>
      <c r="D260" s="28"/>
    </row>
    <row r="261" spans="3:4" ht="12.75">
      <c r="C261" s="110"/>
      <c r="D261" s="28"/>
    </row>
    <row r="262" spans="3:4" ht="12.75">
      <c r="C262" s="110"/>
      <c r="D262" s="28"/>
    </row>
    <row r="263" spans="3:4" ht="12.75">
      <c r="C263" s="110"/>
      <c r="D263" s="28"/>
    </row>
    <row r="264" spans="3:4" ht="12.75">
      <c r="C264" s="110"/>
      <c r="D264" s="28"/>
    </row>
    <row r="265" spans="3:4" ht="12.75">
      <c r="C265" s="110"/>
      <c r="D265" s="28"/>
    </row>
    <row r="266" spans="3:4" ht="12.75">
      <c r="C266" s="110"/>
      <c r="D266" s="28"/>
    </row>
    <row r="267" spans="3:4" ht="12.75">
      <c r="C267" s="110"/>
      <c r="D267" s="28"/>
    </row>
    <row r="268" spans="3:4" ht="12.75">
      <c r="C268" s="110"/>
      <c r="D268" s="28"/>
    </row>
    <row r="269" spans="3:4" ht="12.75">
      <c r="C269" s="110"/>
      <c r="D269" s="28"/>
    </row>
    <row r="270" spans="3:4" ht="12.75">
      <c r="C270" s="110"/>
      <c r="D270" s="28"/>
    </row>
    <row r="271" spans="3:4" ht="12.75">
      <c r="C271" s="110"/>
      <c r="D271" s="28"/>
    </row>
    <row r="272" spans="3:4" ht="12.75">
      <c r="C272" s="110"/>
      <c r="D272" s="28"/>
    </row>
    <row r="273" spans="3:4" ht="12.75">
      <c r="C273" s="110"/>
      <c r="D273" s="28"/>
    </row>
    <row r="274" spans="3:4" ht="12.75">
      <c r="C274" s="110"/>
      <c r="D274" s="28"/>
    </row>
    <row r="275" spans="3:4" ht="12.75">
      <c r="C275" s="110"/>
      <c r="D275" s="28"/>
    </row>
    <row r="276" spans="3:4" ht="12.75">
      <c r="C276" s="110"/>
      <c r="D276" s="28"/>
    </row>
    <row r="277" spans="3:4" ht="12.75">
      <c r="C277" s="110"/>
      <c r="D277" s="28"/>
    </row>
    <row r="278" spans="3:4" ht="12.75">
      <c r="C278" s="110"/>
      <c r="D278" s="28"/>
    </row>
    <row r="279" spans="3:4" ht="12.75">
      <c r="C279" s="110"/>
      <c r="D279" s="28"/>
    </row>
    <row r="280" spans="3:4" ht="12.75">
      <c r="C280" s="110"/>
      <c r="D280" s="28"/>
    </row>
    <row r="281" spans="3:4" ht="12.75">
      <c r="C281" s="110"/>
      <c r="D281" s="28"/>
    </row>
    <row r="282" spans="3:4" ht="12.75">
      <c r="C282" s="110"/>
      <c r="D282" s="28"/>
    </row>
    <row r="283" spans="3:4" ht="12.75">
      <c r="C283" s="110"/>
      <c r="D283" s="28"/>
    </row>
    <row r="284" spans="3:4" ht="12.75">
      <c r="C284" s="110"/>
      <c r="D284" s="28"/>
    </row>
    <row r="285" spans="3:4" ht="12.75">
      <c r="C285" s="110"/>
      <c r="D285" s="28"/>
    </row>
    <row r="286" spans="3:4" ht="12.75">
      <c r="C286" s="110"/>
      <c r="D286" s="28"/>
    </row>
    <row r="287" spans="3:4" ht="12.75">
      <c r="C287" s="110"/>
      <c r="D287" s="28"/>
    </row>
    <row r="288" spans="3:4" ht="12.75">
      <c r="C288" s="110"/>
      <c r="D288" s="28"/>
    </row>
    <row r="289" spans="3:4" ht="12.75">
      <c r="C289" s="110"/>
      <c r="D289" s="28"/>
    </row>
    <row r="290" spans="3:4" ht="12.75">
      <c r="C290" s="110"/>
      <c r="D290" s="28"/>
    </row>
    <row r="291" spans="3:4" ht="12.75">
      <c r="C291" s="110"/>
      <c r="D291" s="28"/>
    </row>
    <row r="292" spans="3:4" ht="12.75">
      <c r="C292" s="110"/>
      <c r="D292" s="28"/>
    </row>
    <row r="293" spans="3:4" ht="12.75">
      <c r="C293" s="110"/>
      <c r="D293" s="28"/>
    </row>
    <row r="294" spans="3:4" ht="12.75">
      <c r="C294" s="110"/>
      <c r="D294" s="28"/>
    </row>
    <row r="295" spans="3:4" ht="12.75">
      <c r="C295" s="110"/>
      <c r="D295" s="28"/>
    </row>
    <row r="296" spans="3:4" ht="12.75">
      <c r="C296" s="110"/>
      <c r="D296" s="28"/>
    </row>
    <row r="297" spans="3:4" ht="12.75">
      <c r="C297" s="110"/>
      <c r="D297" s="28"/>
    </row>
    <row r="298" spans="3:4" ht="12.75">
      <c r="C298" s="110"/>
      <c r="D298" s="28"/>
    </row>
    <row r="299" spans="3:4" ht="12.75">
      <c r="C299" s="110"/>
      <c r="D299" s="28"/>
    </row>
    <row r="300" spans="3:4" ht="12.75">
      <c r="C300" s="110"/>
      <c r="D300" s="28"/>
    </row>
    <row r="301" spans="3:4" ht="12.75">
      <c r="C301" s="110"/>
      <c r="D301" s="28"/>
    </row>
    <row r="302" spans="3:4" ht="12.75">
      <c r="C302" s="110"/>
      <c r="D302" s="28"/>
    </row>
    <row r="303" spans="3:4" ht="12.75">
      <c r="C303" s="110"/>
      <c r="D303" s="28"/>
    </row>
    <row r="304" spans="3:4" ht="12.75">
      <c r="C304" s="110"/>
      <c r="D304" s="28"/>
    </row>
    <row r="305" spans="3:4" ht="12.75">
      <c r="C305" s="110"/>
      <c r="D305" s="28"/>
    </row>
    <row r="306" spans="3:4" ht="12.75">
      <c r="C306" s="110"/>
      <c r="D306" s="28"/>
    </row>
    <row r="307" spans="3:4" ht="12.75">
      <c r="C307" s="110"/>
      <c r="D307" s="28"/>
    </row>
    <row r="308" spans="3:4" ht="12.75">
      <c r="C308" s="110"/>
      <c r="D308" s="28"/>
    </row>
    <row r="309" spans="3:4" ht="12.75">
      <c r="C309" s="110"/>
      <c r="D309" s="28"/>
    </row>
    <row r="310" spans="3:4" ht="12.75">
      <c r="C310" s="110"/>
      <c r="D310" s="28"/>
    </row>
    <row r="311" spans="3:4" ht="12.75">
      <c r="C311" s="110"/>
      <c r="D311" s="28"/>
    </row>
    <row r="312" spans="3:4" ht="12.75">
      <c r="C312" s="110"/>
      <c r="D312" s="28"/>
    </row>
    <row r="313" spans="3:4" ht="12.75">
      <c r="C313" s="110"/>
      <c r="D313" s="28"/>
    </row>
    <row r="314" spans="3:4" ht="12.75">
      <c r="C314" s="110"/>
      <c r="D314" s="28"/>
    </row>
    <row r="315" spans="3:4" ht="12.75">
      <c r="C315" s="110"/>
      <c r="D315" s="28"/>
    </row>
    <row r="316" spans="3:4" ht="12.75">
      <c r="C316" s="110"/>
      <c r="D316" s="28"/>
    </row>
    <row r="317" spans="3:4" ht="12.75">
      <c r="C317" s="110"/>
      <c r="D317" s="28"/>
    </row>
    <row r="318" spans="3:4" ht="12.75">
      <c r="C318" s="110"/>
      <c r="D318" s="28"/>
    </row>
    <row r="319" spans="3:4" ht="12.75">
      <c r="C319" s="110"/>
      <c r="D319" s="28"/>
    </row>
    <row r="320" spans="3:4" ht="12.75">
      <c r="C320" s="110"/>
      <c r="D320" s="28"/>
    </row>
    <row r="321" spans="3:4" ht="12.75">
      <c r="C321" s="110"/>
      <c r="D321" s="28"/>
    </row>
    <row r="322" spans="3:4" ht="12.75">
      <c r="C322" s="110"/>
      <c r="D322" s="28"/>
    </row>
    <row r="323" spans="3:4" ht="12.75">
      <c r="C323" s="110"/>
      <c r="D323" s="28"/>
    </row>
    <row r="324" spans="3:4" ht="12.75">
      <c r="C324" s="110"/>
      <c r="D324" s="28"/>
    </row>
    <row r="325" spans="3:4" ht="12.75">
      <c r="C325" s="110"/>
      <c r="D325" s="28"/>
    </row>
    <row r="326" spans="3:4" ht="12.75">
      <c r="C326" s="110"/>
      <c r="D326" s="28"/>
    </row>
    <row r="327" spans="3:4" ht="12.75">
      <c r="C327" s="110"/>
      <c r="D327" s="28"/>
    </row>
    <row r="328" spans="3:4" ht="12.75">
      <c r="C328" s="110"/>
      <c r="D328" s="28"/>
    </row>
    <row r="329" spans="3:4" ht="12.75">
      <c r="C329" s="110"/>
      <c r="D329" s="28"/>
    </row>
    <row r="330" spans="3:4" ht="12.75">
      <c r="C330" s="110"/>
      <c r="D330" s="28"/>
    </row>
    <row r="331" spans="3:4" ht="12.75">
      <c r="C331" s="110"/>
      <c r="D331" s="28"/>
    </row>
    <row r="332" spans="3:4" ht="12.75">
      <c r="C332" s="110"/>
      <c r="D332" s="28"/>
    </row>
    <row r="333" spans="3:4" ht="12.75">
      <c r="C333" s="110"/>
      <c r="D333" s="28"/>
    </row>
    <row r="334" spans="3:4" ht="12.75">
      <c r="C334" s="110"/>
      <c r="D334" s="28"/>
    </row>
    <row r="335" spans="3:4" ht="12.75">
      <c r="C335" s="110"/>
      <c r="D335" s="28"/>
    </row>
    <row r="336" spans="3:4" ht="12.75">
      <c r="C336" s="110"/>
      <c r="D336" s="28"/>
    </row>
    <row r="337" spans="3:4" ht="12.75">
      <c r="C337" s="110"/>
      <c r="D337" s="28"/>
    </row>
    <row r="338" spans="3:4" ht="12.75">
      <c r="C338" s="110"/>
      <c r="D338" s="28"/>
    </row>
    <row r="339" spans="3:4" ht="12.75">
      <c r="C339" s="110"/>
      <c r="D339" s="28"/>
    </row>
    <row r="340" spans="3:4" ht="12.75">
      <c r="C340" s="110"/>
      <c r="D340" s="28"/>
    </row>
    <row r="341" spans="3:4" ht="12.75">
      <c r="C341" s="110"/>
      <c r="D341" s="28"/>
    </row>
    <row r="342" spans="3:4" ht="12.75">
      <c r="C342" s="110"/>
      <c r="D342" s="28"/>
    </row>
    <row r="343" spans="3:4" ht="12.75">
      <c r="C343" s="110"/>
      <c r="D343" s="28"/>
    </row>
    <row r="344" spans="3:4" ht="12.75">
      <c r="C344" s="110"/>
      <c r="D344" s="28"/>
    </row>
    <row r="345" spans="3:4" ht="12.75">
      <c r="C345" s="110"/>
      <c r="D345" s="28"/>
    </row>
    <row r="346" spans="3:4" ht="12.75">
      <c r="C346" s="110"/>
      <c r="D346" s="28"/>
    </row>
    <row r="347" spans="3:4" ht="12.75">
      <c r="C347" s="110"/>
      <c r="D347" s="28"/>
    </row>
    <row r="348" spans="3:4" ht="12.75">
      <c r="C348" s="110"/>
      <c r="D348" s="28"/>
    </row>
    <row r="349" spans="3:4" ht="12.75">
      <c r="C349" s="110"/>
      <c r="D349" s="28"/>
    </row>
    <row r="350" spans="3:4" ht="12.75">
      <c r="C350" s="110"/>
      <c r="D350" s="28"/>
    </row>
    <row r="351" spans="3:4" ht="12.75">
      <c r="C351" s="110"/>
      <c r="D351" s="28"/>
    </row>
    <row r="352" spans="3:4" ht="12.75">
      <c r="C352" s="110"/>
      <c r="D352" s="28"/>
    </row>
    <row r="353" spans="3:4" ht="12.75">
      <c r="C353" s="110"/>
      <c r="D353" s="28"/>
    </row>
    <row r="354" spans="3:4" ht="12.75">
      <c r="C354" s="110"/>
      <c r="D354" s="28"/>
    </row>
    <row r="355" spans="3:4" ht="12.75">
      <c r="C355" s="110"/>
      <c r="D355" s="28"/>
    </row>
    <row r="356" spans="3:4" ht="12.75">
      <c r="C356" s="110"/>
      <c r="D356" s="28"/>
    </row>
    <row r="357" spans="3:4" ht="12.75">
      <c r="C357" s="110"/>
      <c r="D357" s="28"/>
    </row>
    <row r="358" spans="3:4" ht="12.75">
      <c r="C358" s="110"/>
      <c r="D358" s="28"/>
    </row>
    <row r="359" spans="3:4" ht="12.75">
      <c r="C359" s="110"/>
      <c r="D359" s="28"/>
    </row>
    <row r="360" spans="3:4" ht="12.75">
      <c r="C360" s="110"/>
      <c r="D360" s="28"/>
    </row>
    <row r="361" spans="3:4" ht="12.75">
      <c r="C361" s="110"/>
      <c r="D361" s="28"/>
    </row>
    <row r="362" spans="3:4" ht="12.75">
      <c r="C362" s="110"/>
      <c r="D362" s="28"/>
    </row>
    <row r="363" spans="3:4" ht="12.75">
      <c r="C363" s="110"/>
      <c r="D363" s="28"/>
    </row>
    <row r="364" spans="3:4" ht="12.75">
      <c r="C364" s="110"/>
      <c r="D364" s="28"/>
    </row>
    <row r="365" spans="3:4" ht="12.75">
      <c r="C365" s="110"/>
      <c r="D365" s="28"/>
    </row>
    <row r="366" spans="3:4" ht="12.75">
      <c r="C366" s="110"/>
      <c r="D366" s="28"/>
    </row>
    <row r="367" spans="3:4" ht="12.75">
      <c r="C367" s="110"/>
      <c r="D367" s="28"/>
    </row>
    <row r="368" spans="3:4" ht="12.75">
      <c r="C368" s="110"/>
      <c r="D368" s="28"/>
    </row>
    <row r="369" spans="3:4" ht="12.75">
      <c r="C369" s="110"/>
      <c r="D369" s="28"/>
    </row>
    <row r="370" spans="3:4" ht="12.75">
      <c r="C370" s="110"/>
      <c r="D370" s="28"/>
    </row>
    <row r="371" spans="3:4" ht="12.75">
      <c r="C371" s="110"/>
      <c r="D371" s="28"/>
    </row>
    <row r="372" spans="3:4" ht="12.75">
      <c r="C372" s="110"/>
      <c r="D372" s="28"/>
    </row>
    <row r="373" spans="3:4" ht="12.75">
      <c r="C373" s="110"/>
      <c r="D373" s="28"/>
    </row>
    <row r="374" spans="3:4" ht="12.75">
      <c r="C374" s="110"/>
      <c r="D374" s="28"/>
    </row>
    <row r="375" spans="3:4" ht="12.75">
      <c r="C375" s="110"/>
      <c r="D375" s="28"/>
    </row>
    <row r="376" spans="3:4" ht="12.75">
      <c r="C376" s="110"/>
      <c r="D376" s="28"/>
    </row>
    <row r="377" spans="3:4" ht="12.75">
      <c r="C377" s="110"/>
      <c r="D377" s="28"/>
    </row>
    <row r="378" spans="3:4" ht="12.75">
      <c r="C378" s="110"/>
      <c r="D378" s="28"/>
    </row>
    <row r="379" spans="3:4" ht="12.75">
      <c r="C379" s="110"/>
      <c r="D379" s="28"/>
    </row>
    <row r="380" spans="3:4" ht="12.75">
      <c r="C380" s="110"/>
      <c r="D380" s="28"/>
    </row>
    <row r="381" spans="3:4" ht="12.75">
      <c r="C381" s="110"/>
      <c r="D381" s="28"/>
    </row>
    <row r="382" spans="3:4" ht="12.75">
      <c r="C382" s="110"/>
      <c r="D382" s="28"/>
    </row>
    <row r="383" spans="3:4" ht="12.75">
      <c r="C383" s="110"/>
      <c r="D383" s="28"/>
    </row>
    <row r="384" spans="3:4" ht="12.75">
      <c r="C384" s="110"/>
      <c r="D384" s="28"/>
    </row>
    <row r="385" spans="3:4" ht="12.75">
      <c r="C385" s="110"/>
      <c r="D385" s="28"/>
    </row>
    <row r="386" spans="3:4" ht="12.75">
      <c r="C386" s="110"/>
      <c r="D386" s="28"/>
    </row>
    <row r="387" spans="3:4" ht="12.75">
      <c r="C387" s="110"/>
      <c r="D387" s="28"/>
    </row>
    <row r="388" spans="3:4" ht="12.75">
      <c r="C388" s="110"/>
      <c r="D388" s="28"/>
    </row>
    <row r="389" spans="3:4" ht="12.75">
      <c r="C389" s="110"/>
      <c r="D389" s="28"/>
    </row>
    <row r="390" spans="3:4" ht="12.75">
      <c r="C390" s="110"/>
      <c r="D390" s="28"/>
    </row>
    <row r="391" spans="3:4" ht="12.75">
      <c r="C391" s="110"/>
      <c r="D391" s="28"/>
    </row>
    <row r="392" spans="3:4" ht="12.75">
      <c r="C392" s="110"/>
      <c r="D392" s="28"/>
    </row>
    <row r="393" spans="3:4" ht="12.75">
      <c r="C393" s="110"/>
      <c r="D393" s="28"/>
    </row>
    <row r="394" spans="3:4" ht="12.75">
      <c r="C394" s="110"/>
      <c r="D394" s="28"/>
    </row>
    <row r="395" spans="3:4" ht="12.75">
      <c r="C395" s="110"/>
      <c r="D395" s="28"/>
    </row>
    <row r="396" spans="3:4" ht="12.75">
      <c r="C396" s="110"/>
      <c r="D396" s="28"/>
    </row>
    <row r="397" spans="3:4" ht="12.75">
      <c r="C397" s="110"/>
      <c r="D397" s="28"/>
    </row>
    <row r="398" spans="3:4" ht="12.75">
      <c r="C398" s="110"/>
      <c r="D398" s="28"/>
    </row>
    <row r="399" spans="3:4" ht="12.75">
      <c r="C399" s="110"/>
      <c r="D399" s="28"/>
    </row>
    <row r="400" spans="3:4" ht="12.75">
      <c r="C400" s="110"/>
      <c r="D400" s="28"/>
    </row>
    <row r="401" spans="3:4" ht="12.75">
      <c r="C401" s="110"/>
      <c r="D401" s="28"/>
    </row>
    <row r="402" spans="3:4" ht="12.75">
      <c r="C402" s="110"/>
      <c r="D402" s="28"/>
    </row>
    <row r="403" spans="3:4" ht="12.75">
      <c r="C403" s="110"/>
      <c r="D403" s="28"/>
    </row>
    <row r="404" spans="3:4" ht="12.75">
      <c r="C404" s="110"/>
      <c r="D404" s="28"/>
    </row>
    <row r="405" spans="3:4" ht="12.75">
      <c r="C405" s="110"/>
      <c r="D405" s="28"/>
    </row>
    <row r="406" spans="3:4" ht="12.75">
      <c r="C406" s="110"/>
      <c r="D406" s="28"/>
    </row>
    <row r="407" spans="3:4" ht="12.75">
      <c r="C407" s="110"/>
      <c r="D407" s="28"/>
    </row>
    <row r="408" spans="3:4" ht="12.75">
      <c r="C408" s="110"/>
      <c r="D408" s="28"/>
    </row>
    <row r="409" spans="3:4" ht="12.75">
      <c r="C409" s="110"/>
      <c r="D409" s="28"/>
    </row>
    <row r="410" spans="3:4" ht="12.75">
      <c r="C410" s="110"/>
      <c r="D410" s="28"/>
    </row>
    <row r="411" spans="3:4" ht="12.75">
      <c r="C411" s="110"/>
      <c r="D411" s="28"/>
    </row>
    <row r="412" spans="3:4" ht="12.75">
      <c r="C412" s="110"/>
      <c r="D412" s="28"/>
    </row>
    <row r="413" spans="3:4" ht="12.75">
      <c r="C413" s="110"/>
      <c r="D413" s="28"/>
    </row>
    <row r="414" spans="3:4" ht="12.75">
      <c r="C414" s="110"/>
      <c r="D414" s="28"/>
    </row>
    <row r="415" spans="3:4" ht="12.75">
      <c r="C415" s="110"/>
      <c r="D415" s="28"/>
    </row>
    <row r="416" spans="3:4" ht="12.75">
      <c r="C416" s="110"/>
      <c r="D416" s="28"/>
    </row>
    <row r="417" spans="3:4" ht="12.75">
      <c r="C417" s="110"/>
      <c r="D417" s="28"/>
    </row>
    <row r="418" spans="3:4" ht="12.75">
      <c r="C418" s="110"/>
      <c r="D418" s="28"/>
    </row>
    <row r="419" spans="3:4" ht="12.75">
      <c r="C419" s="110"/>
      <c r="D419" s="28"/>
    </row>
    <row r="420" spans="3:4" ht="12.75">
      <c r="C420" s="110"/>
      <c r="D420" s="28"/>
    </row>
    <row r="421" spans="3:4" ht="12.75">
      <c r="C421" s="110"/>
      <c r="D421" s="28"/>
    </row>
    <row r="422" spans="3:4" ht="12.75">
      <c r="C422" s="110"/>
      <c r="D422" s="28"/>
    </row>
    <row r="423" spans="3:4" ht="12.75">
      <c r="C423" s="110"/>
      <c r="D423" s="28"/>
    </row>
    <row r="424" spans="3:4" ht="12.75">
      <c r="C424" s="110"/>
      <c r="D424" s="28"/>
    </row>
    <row r="425" spans="3:4" ht="12.75">
      <c r="C425" s="110"/>
      <c r="D425" s="28"/>
    </row>
    <row r="426" spans="3:4" ht="12.75">
      <c r="C426" s="110"/>
      <c r="D426" s="28"/>
    </row>
    <row r="427" spans="3:4" ht="12.75">
      <c r="C427" s="110"/>
      <c r="D427" s="28"/>
    </row>
    <row r="428" spans="3:4" ht="12.75">
      <c r="C428" s="110"/>
      <c r="D428" s="28"/>
    </row>
    <row r="429" spans="3:4" ht="12.75">
      <c r="C429" s="110"/>
      <c r="D429" s="28"/>
    </row>
    <row r="430" spans="3:4" ht="12.75">
      <c r="C430" s="110"/>
      <c r="D430" s="28"/>
    </row>
    <row r="431" spans="3:4" ht="12.75">
      <c r="C431" s="110"/>
      <c r="D431" s="28"/>
    </row>
    <row r="432" spans="3:4" ht="12.75">
      <c r="C432" s="110"/>
      <c r="D432" s="28"/>
    </row>
    <row r="433" spans="3:4" ht="12.75">
      <c r="C433" s="110"/>
      <c r="D433" s="28"/>
    </row>
    <row r="434" spans="3:4" ht="12.75">
      <c r="C434" s="110"/>
      <c r="D434" s="28"/>
    </row>
    <row r="435" spans="3:4" ht="12.75">
      <c r="C435" s="110"/>
      <c r="D435" s="28"/>
    </row>
    <row r="436" spans="3:4" ht="12.75">
      <c r="C436" s="110"/>
      <c r="D436" s="28"/>
    </row>
    <row r="437" spans="3:4" ht="12.75">
      <c r="C437" s="110"/>
      <c r="D437" s="28"/>
    </row>
    <row r="438" spans="3:4" ht="12.75">
      <c r="C438" s="110"/>
      <c r="D438" s="28"/>
    </row>
    <row r="439" spans="3:4" ht="12.75">
      <c r="C439" s="110"/>
      <c r="D439" s="28"/>
    </row>
    <row r="440" spans="3:4" ht="12.75">
      <c r="C440" s="110"/>
      <c r="D440" s="28"/>
    </row>
    <row r="441" spans="3:4" ht="12.75">
      <c r="C441" s="110"/>
      <c r="D441" s="28"/>
    </row>
    <row r="442" spans="3:4" ht="12.75">
      <c r="C442" s="110"/>
      <c r="D442" s="28"/>
    </row>
    <row r="443" spans="3:4" ht="12.75">
      <c r="C443" s="110"/>
      <c r="D443" s="28"/>
    </row>
    <row r="444" spans="3:4" ht="12.75">
      <c r="C444" s="110"/>
      <c r="D444" s="28"/>
    </row>
    <row r="445" spans="3:4" ht="12.75">
      <c r="C445" s="110"/>
      <c r="D445" s="28"/>
    </row>
    <row r="446" spans="3:4" ht="12.75">
      <c r="C446" s="110"/>
      <c r="D446" s="28"/>
    </row>
    <row r="447" spans="3:4" ht="12.75">
      <c r="C447" s="110"/>
      <c r="D447" s="28"/>
    </row>
    <row r="448" spans="3:4" ht="12.75">
      <c r="C448" s="110"/>
      <c r="D448" s="28"/>
    </row>
    <row r="449" spans="3:4" ht="12.75">
      <c r="C449" s="110"/>
      <c r="D449" s="28"/>
    </row>
    <row r="450" spans="3:4" ht="12.75">
      <c r="C450" s="110"/>
      <c r="D450" s="28"/>
    </row>
    <row r="451" spans="3:4" ht="12.75">
      <c r="C451" s="110"/>
      <c r="D451" s="28"/>
    </row>
    <row r="452" spans="3:4" ht="12.75">
      <c r="C452" s="110"/>
      <c r="D452" s="28"/>
    </row>
    <row r="453" spans="3:4" ht="12.75">
      <c r="C453" s="110"/>
      <c r="D453" s="28"/>
    </row>
    <row r="454" spans="3:4" ht="12.75">
      <c r="C454" s="110"/>
      <c r="D454" s="28"/>
    </row>
    <row r="455" spans="3:4" ht="12.75">
      <c r="C455" s="110"/>
      <c r="D455" s="28"/>
    </row>
    <row r="456" spans="3:4" ht="12.75">
      <c r="C456" s="110"/>
      <c r="D456" s="28"/>
    </row>
    <row r="457" spans="3:4" ht="12.75">
      <c r="C457" s="110"/>
      <c r="D457" s="28"/>
    </row>
    <row r="458" spans="3:4" ht="12.75">
      <c r="C458" s="110"/>
      <c r="D458" s="28"/>
    </row>
    <row r="459" spans="3:4" ht="12.75">
      <c r="C459" s="110"/>
      <c r="D459" s="28"/>
    </row>
    <row r="460" spans="3:4" ht="12.75">
      <c r="C460" s="110"/>
      <c r="D460" s="28"/>
    </row>
    <row r="461" spans="3:4" ht="12.75">
      <c r="C461" s="110"/>
      <c r="D461" s="28"/>
    </row>
    <row r="462" spans="3:4" ht="12.75">
      <c r="C462" s="110"/>
      <c r="D462" s="28"/>
    </row>
    <row r="463" spans="3:4" ht="12.75">
      <c r="C463" s="110"/>
      <c r="D463" s="28"/>
    </row>
    <row r="464" spans="3:4" ht="12.75">
      <c r="C464" s="110"/>
      <c r="D464" s="28"/>
    </row>
    <row r="465" spans="3:4" ht="12.75">
      <c r="C465" s="110"/>
      <c r="D465" s="28"/>
    </row>
    <row r="466" spans="3:4" ht="12.75">
      <c r="C466" s="110"/>
      <c r="D466" s="28"/>
    </row>
    <row r="467" spans="3:4" ht="12.75">
      <c r="C467" s="110"/>
      <c r="D467" s="28"/>
    </row>
    <row r="468" spans="3:4" ht="12.75">
      <c r="C468" s="110"/>
      <c r="D468" s="28"/>
    </row>
    <row r="469" spans="3:4" ht="12.75">
      <c r="C469" s="110"/>
      <c r="D469" s="28"/>
    </row>
    <row r="470" spans="3:4" ht="12.75">
      <c r="C470" s="110"/>
      <c r="D470" s="28"/>
    </row>
    <row r="471" spans="3:4" ht="12.75">
      <c r="C471" s="110"/>
      <c r="D471" s="28"/>
    </row>
    <row r="472" spans="3:4" ht="12.75">
      <c r="C472" s="110"/>
      <c r="D472" s="28"/>
    </row>
    <row r="473" spans="3:4" ht="12.75">
      <c r="C473" s="110"/>
      <c r="D473" s="28"/>
    </row>
    <row r="474" spans="3:4" ht="12.75">
      <c r="C474" s="110"/>
      <c r="D474" s="28"/>
    </row>
    <row r="475" spans="3:4" ht="12.75">
      <c r="C475" s="110"/>
      <c r="D475" s="28"/>
    </row>
    <row r="476" spans="3:4" ht="12.75">
      <c r="C476" s="110"/>
      <c r="D476" s="28"/>
    </row>
    <row r="477" spans="3:4" ht="12.75">
      <c r="C477" s="110"/>
      <c r="D477" s="28"/>
    </row>
    <row r="478" spans="3:4" ht="12.75">
      <c r="C478" s="110"/>
      <c r="D478" s="28"/>
    </row>
    <row r="479" spans="3:4" ht="12.75">
      <c r="C479" s="110"/>
      <c r="D479" s="28"/>
    </row>
    <row r="480" spans="3:4" ht="12.75">
      <c r="C480" s="110"/>
      <c r="D480" s="28"/>
    </row>
    <row r="481" spans="3:4" ht="12.75">
      <c r="C481" s="110"/>
      <c r="D481" s="28"/>
    </row>
    <row r="482" spans="3:4" ht="12.75">
      <c r="C482" s="110"/>
      <c r="D482" s="28"/>
    </row>
    <row r="483" spans="3:4" ht="12.75">
      <c r="C483" s="110"/>
      <c r="D483" s="28"/>
    </row>
    <row r="484" spans="3:4" ht="12.75">
      <c r="C484" s="110"/>
      <c r="D484" s="28"/>
    </row>
    <row r="485" spans="3:4" ht="12.75">
      <c r="C485" s="110"/>
      <c r="D485" s="28"/>
    </row>
    <row r="486" spans="3:4" ht="12.75">
      <c r="C486" s="110"/>
      <c r="D486" s="28"/>
    </row>
    <row r="487" spans="3:4" ht="12.75">
      <c r="C487" s="110"/>
      <c r="D487" s="28"/>
    </row>
    <row r="488" spans="3:4" ht="12.75">
      <c r="C488" s="110"/>
      <c r="D488" s="28"/>
    </row>
    <row r="489" spans="3:4" ht="12.75">
      <c r="C489" s="110"/>
      <c r="D489" s="28"/>
    </row>
    <row r="490" spans="3:4" ht="12.75">
      <c r="C490" s="110"/>
      <c r="D490" s="28"/>
    </row>
    <row r="491" spans="3:4" ht="12.75">
      <c r="C491" s="110"/>
      <c r="D491" s="28"/>
    </row>
    <row r="492" spans="3:4" ht="12.75">
      <c r="C492" s="110"/>
      <c r="D492" s="28"/>
    </row>
    <row r="493" spans="3:4" ht="12.75">
      <c r="C493" s="110"/>
      <c r="D493" s="28"/>
    </row>
    <row r="494" spans="3:4" ht="12.75">
      <c r="C494" s="110"/>
      <c r="D494" s="28"/>
    </row>
    <row r="495" spans="3:4" ht="12.75">
      <c r="C495" s="110"/>
      <c r="D495" s="28"/>
    </row>
    <row r="496" spans="3:4" ht="12.75">
      <c r="C496" s="110"/>
      <c r="D496" s="28"/>
    </row>
    <row r="497" spans="3:4" ht="12.75">
      <c r="C497" s="110"/>
      <c r="D497" s="28"/>
    </row>
    <row r="498" spans="3:4" ht="12.75">
      <c r="C498" s="110"/>
      <c r="D498" s="28"/>
    </row>
    <row r="499" spans="3:4" ht="12.75">
      <c r="C499" s="110"/>
      <c r="D499" s="28"/>
    </row>
    <row r="500" spans="3:4" ht="12.75">
      <c r="C500" s="110"/>
      <c r="D500" s="28"/>
    </row>
    <row r="501" spans="3:4" ht="12.75">
      <c r="C501" s="110"/>
      <c r="D501" s="28"/>
    </row>
    <row r="502" spans="3:4" ht="12.75">
      <c r="C502" s="110"/>
      <c r="D502" s="28"/>
    </row>
    <row r="503" spans="3:4" ht="12.75">
      <c r="C503" s="110"/>
      <c r="D503" s="28"/>
    </row>
    <row r="504" spans="3:4" ht="12.75">
      <c r="C504" s="110"/>
      <c r="D504" s="28"/>
    </row>
    <row r="505" spans="3:4" ht="12.75">
      <c r="C505" s="110"/>
      <c r="D505" s="28"/>
    </row>
    <row r="506" spans="3:4" ht="12.75">
      <c r="C506" s="110"/>
      <c r="D506" s="28"/>
    </row>
    <row r="507" spans="3:4" ht="12.75">
      <c r="C507" s="110"/>
      <c r="D507" s="28"/>
    </row>
    <row r="508" spans="3:4" ht="12.75">
      <c r="C508" s="110"/>
      <c r="D508" s="28"/>
    </row>
    <row r="509" spans="3:4" ht="12.75">
      <c r="C509" s="110"/>
      <c r="D509" s="28"/>
    </row>
    <row r="510" spans="3:4" ht="12.75">
      <c r="C510" s="110"/>
      <c r="D510" s="28"/>
    </row>
    <row r="511" spans="3:4" ht="12.75">
      <c r="C511" s="110"/>
      <c r="D511" s="28"/>
    </row>
    <row r="512" spans="3:4" ht="12.75">
      <c r="C512" s="110"/>
      <c r="D512" s="28"/>
    </row>
    <row r="513" spans="3:4" ht="12.75">
      <c r="C513" s="110"/>
      <c r="D513" s="28"/>
    </row>
    <row r="514" spans="3:4" ht="12.75">
      <c r="C514" s="110"/>
      <c r="D514" s="28"/>
    </row>
    <row r="515" spans="3:4" ht="12.75">
      <c r="C515" s="110"/>
      <c r="D515" s="28"/>
    </row>
    <row r="516" spans="3:4" ht="12.75">
      <c r="C516" s="110"/>
      <c r="D516" s="28"/>
    </row>
    <row r="517" spans="3:4" ht="12.75">
      <c r="C517" s="110"/>
      <c r="D517" s="28"/>
    </row>
    <row r="518" spans="3:4" ht="12.75">
      <c r="C518" s="110"/>
      <c r="D518" s="28"/>
    </row>
    <row r="519" spans="3:4" ht="12.75">
      <c r="C519" s="110"/>
      <c r="D519" s="28"/>
    </row>
    <row r="520" spans="3:4" ht="12.75">
      <c r="C520" s="110"/>
      <c r="D520" s="28"/>
    </row>
    <row r="521" spans="3:4" ht="12.75">
      <c r="C521" s="110"/>
      <c r="D521" s="28"/>
    </row>
    <row r="522" spans="3:4" ht="12.75">
      <c r="C522" s="110"/>
      <c r="D522" s="28"/>
    </row>
    <row r="523" spans="3:4" ht="12.75">
      <c r="C523" s="110"/>
      <c r="D523" s="28"/>
    </row>
    <row r="524" spans="3:4" ht="12.75">
      <c r="C524" s="110"/>
      <c r="D524" s="28"/>
    </row>
    <row r="525" spans="3:4" ht="12.75">
      <c r="C525" s="110"/>
      <c r="D525" s="28"/>
    </row>
    <row r="526" spans="3:4" ht="12.75">
      <c r="C526" s="110"/>
      <c r="D526" s="28"/>
    </row>
    <row r="527" spans="3:4" ht="12.75">
      <c r="C527" s="110"/>
      <c r="D527" s="28"/>
    </row>
    <row r="528" spans="3:4" ht="12.75">
      <c r="C528" s="110"/>
      <c r="D528" s="28"/>
    </row>
  </sheetData>
  <sheetProtection/>
  <mergeCells count="2">
    <mergeCell ref="C13:D13"/>
    <mergeCell ref="C3:J3"/>
  </mergeCells>
  <conditionalFormatting sqref="C3">
    <cfRule type="cellIs" priority="1" dxfId="1" operator="equal" stopIfTrue="1">
      <formula>0</formula>
    </cfRule>
    <cfRule type="cellIs" priority="2" dxfId="0" operator="notEqual" stopIfTrue="1">
      <formula>0</formula>
    </cfRule>
  </conditionalFormatting>
  <printOptions/>
  <pageMargins left="0.75" right="0.75" top="0.93" bottom="0.49" header="0" footer="0"/>
  <pageSetup fitToHeight="1" fitToWidth="1" horizontalDpi="600" verticalDpi="600" orientation="landscape" scale="39" r:id="rId5"/>
  <drawing r:id="rId3"/>
  <legacyDrawing r:id="rId2"/>
  <legacyDrawingHF r:id="rId4"/>
  <oleObjects>
    <oleObject progId="Equation.3" shapeId="675840" r:id="rId1"/>
  </oleObjects>
</worksheet>
</file>

<file path=xl/worksheets/sheet8.xml><?xml version="1.0" encoding="utf-8"?>
<worksheet xmlns="http://schemas.openxmlformats.org/spreadsheetml/2006/main" xmlns:r="http://schemas.openxmlformats.org/officeDocument/2006/relationships">
  <sheetPr codeName="Sheet10"/>
  <dimension ref="B2:S476"/>
  <sheetViews>
    <sheetView zoomScalePageLayoutView="0" workbookViewId="0" topLeftCell="A1">
      <selection activeCell="A1" sqref="A1"/>
    </sheetView>
  </sheetViews>
  <sheetFormatPr defaultColWidth="9.140625" defaultRowHeight="12.75"/>
  <cols>
    <col min="1" max="1" width="7.7109375" style="0" customWidth="1"/>
    <col min="2" max="7" width="8.140625" style="0" customWidth="1"/>
    <col min="8" max="8" width="6.7109375" style="0" customWidth="1"/>
    <col min="9" max="9" width="10.28125" style="0" customWidth="1"/>
    <col min="10" max="10" width="9.421875" style="0" customWidth="1"/>
    <col min="11" max="11" width="10.00390625" style="0" customWidth="1"/>
    <col min="12" max="12" width="13.28125" style="0" customWidth="1"/>
    <col min="13" max="13" width="12.57421875" style="0" customWidth="1"/>
  </cols>
  <sheetData>
    <row r="2" spans="2:13" s="16" customFormat="1" ht="20.25">
      <c r="B2" s="18" t="s">
        <v>33</v>
      </c>
      <c r="M2" s="214" t="s">
        <v>183</v>
      </c>
    </row>
    <row r="3" ht="18">
      <c r="B3" s="17" t="s">
        <v>128</v>
      </c>
    </row>
    <row r="4" spans="2:13" ht="9.75" customHeight="1">
      <c r="B4" s="18"/>
      <c r="M4" s="214"/>
    </row>
    <row r="5" spans="2:13" ht="12.75" customHeight="1">
      <c r="B5" s="263" t="s">
        <v>193</v>
      </c>
      <c r="M5" s="214"/>
    </row>
    <row r="6" spans="2:13" ht="12.75" customHeight="1">
      <c r="B6" s="263"/>
      <c r="M6" s="214"/>
    </row>
    <row r="7" spans="2:13" ht="12.75" customHeight="1">
      <c r="B7" s="264" t="s">
        <v>197</v>
      </c>
      <c r="M7" s="214"/>
    </row>
    <row r="8" spans="2:13" ht="12.75" customHeight="1">
      <c r="B8" s="263" t="s">
        <v>199</v>
      </c>
      <c r="M8" s="214"/>
    </row>
    <row r="9" spans="2:13" ht="12.75" customHeight="1">
      <c r="B9" s="263" t="s">
        <v>200</v>
      </c>
      <c r="M9" s="214"/>
    </row>
    <row r="10" spans="2:13" ht="12.75" customHeight="1">
      <c r="B10" s="263" t="s">
        <v>201</v>
      </c>
      <c r="M10" s="214"/>
    </row>
    <row r="11" spans="2:13" ht="12.75" customHeight="1">
      <c r="B11" s="263" t="s">
        <v>195</v>
      </c>
      <c r="M11" s="214"/>
    </row>
    <row r="12" spans="2:13" ht="12.75" customHeight="1">
      <c r="B12" s="263" t="s">
        <v>205</v>
      </c>
      <c r="M12" s="214"/>
    </row>
    <row r="13" spans="2:13" ht="12.75" customHeight="1">
      <c r="B13" s="263" t="s">
        <v>198</v>
      </c>
      <c r="M13" s="214"/>
    </row>
    <row r="14" spans="2:13" ht="12.75" customHeight="1">
      <c r="B14" s="263"/>
      <c r="M14" s="214"/>
    </row>
    <row r="15" spans="2:13" ht="12.75" customHeight="1">
      <c r="B15" s="263"/>
      <c r="M15" s="214"/>
    </row>
    <row r="16" spans="2:6" ht="15.75">
      <c r="B16" s="265" t="s">
        <v>194</v>
      </c>
      <c r="C16" s="2"/>
      <c r="E16" s="156"/>
      <c r="F16" s="157"/>
    </row>
    <row r="17" spans="2:18" ht="12.75">
      <c r="B17" s="2"/>
      <c r="C17" s="2"/>
      <c r="E17" s="156"/>
      <c r="F17" s="157"/>
      <c r="N17" s="162"/>
      <c r="O17" s="162"/>
      <c r="P17" s="162"/>
      <c r="Q17" s="162"/>
      <c r="R17" s="162"/>
    </row>
    <row r="18" spans="2:19" ht="50.25" customHeight="1">
      <c r="B18" s="266" t="s">
        <v>123</v>
      </c>
      <c r="C18" s="266" t="s">
        <v>124</v>
      </c>
      <c r="D18" s="266" t="s">
        <v>127</v>
      </c>
      <c r="E18" s="266" t="s">
        <v>1</v>
      </c>
      <c r="F18" s="266" t="s">
        <v>196</v>
      </c>
      <c r="G18" s="266" t="s">
        <v>125</v>
      </c>
      <c r="H18" s="266" t="s">
        <v>126</v>
      </c>
      <c r="I18" s="266" t="s">
        <v>102</v>
      </c>
      <c r="J18" s="266" t="s">
        <v>204</v>
      </c>
      <c r="K18" s="266" t="s">
        <v>206</v>
      </c>
      <c r="L18" s="266" t="s">
        <v>202</v>
      </c>
      <c r="M18" s="266" t="s">
        <v>203</v>
      </c>
      <c r="O18" s="454">
        <f>IF('ERR &amp; Sensitivity Analysis'!$I$10="N","Note: Current calculations are based on user input and are not the original MCC estimates.",IF('ERR &amp; Sensitivity Analysis'!$I$13="N","Note: Current calculations are based on user input and are not the original MCC estimates.",0))</f>
        <v>0</v>
      </c>
      <c r="P18" s="454"/>
      <c r="Q18" s="454"/>
      <c r="R18" s="454"/>
      <c r="S18" s="454"/>
    </row>
    <row r="19" spans="2:13" ht="12.75">
      <c r="B19" s="267">
        <v>19.152</v>
      </c>
      <c r="C19" s="268">
        <v>0.2506266</v>
      </c>
      <c r="D19" s="268">
        <v>0.2506266</v>
      </c>
      <c r="E19" s="269">
        <f>B19/(D19^F19)</f>
        <v>2.066345692212598</v>
      </c>
      <c r="F19" s="269">
        <f>LN(B19/G19)/LN(D19/H19)</f>
        <v>-1.609076306893102</v>
      </c>
      <c r="G19" s="333">
        <f>'ERR &amp; Sensitivity Analysis'!$D$13</f>
        <v>84</v>
      </c>
      <c r="H19" s="332">
        <f>'ERR &amp; Sensitivity Analysis'!$D$14</f>
        <v>0.1</v>
      </c>
      <c r="I19" s="269">
        <f>IF((D19-H19)*B19&gt;0,(D19-H19)*B19,0)</f>
        <v>2.8848006431999997</v>
      </c>
      <c r="J19" s="268">
        <f>(E19*(D19^(F19+1)))/(F19+1)</f>
        <v>-7.880787003002629</v>
      </c>
      <c r="K19" s="268">
        <f>(E19*(H19^(F19+1)))/(F19+1)</f>
        <v>-13.791375407210294</v>
      </c>
      <c r="L19" s="268">
        <f>(D19-H19)*B19</f>
        <v>2.8848006431999997</v>
      </c>
      <c r="M19" s="270">
        <f>J19-K19-L19</f>
        <v>3.0257877610076656</v>
      </c>
    </row>
    <row r="20" spans="2:13" ht="12.75">
      <c r="B20" s="271">
        <v>31.92</v>
      </c>
      <c r="C20" s="272">
        <v>0.2506266</v>
      </c>
      <c r="D20" s="272">
        <v>0.2506266</v>
      </c>
      <c r="E20" s="273">
        <f aca="true" t="shared" si="0" ref="E20:E83">B20/(D20^F20)</f>
        <v>7.433220812550849</v>
      </c>
      <c r="F20" s="273">
        <f aca="true" t="shared" si="1" ref="F20:F83">LN(B20/G20)/LN(D20/H20)</f>
        <v>-1.053102251839858</v>
      </c>
      <c r="G20" s="333">
        <f>'ERR &amp; Sensitivity Analysis'!$D$13</f>
        <v>84</v>
      </c>
      <c r="H20" s="332">
        <f>'ERR &amp; Sensitivity Analysis'!$D$14</f>
        <v>0.1</v>
      </c>
      <c r="I20" s="273">
        <f aca="true" t="shared" si="2" ref="I20:I83">IF((D20-H20)*B20&gt;0,(D20-H20)*B20,0)</f>
        <v>4.808001072</v>
      </c>
      <c r="J20" s="272">
        <f aca="true" t="shared" si="3" ref="J20:J83">(E20*(D20^(F20+1)))/(F20+1)</f>
        <v>-150.65276508660736</v>
      </c>
      <c r="K20" s="272">
        <f aca="true" t="shared" si="4" ref="K20:K83">(E20*(H20^(F20+1)))/(F20+1)</f>
        <v>-158.18538214409654</v>
      </c>
      <c r="L20" s="272">
        <f aca="true" t="shared" si="5" ref="L20:L83">(D20-H20)*B20</f>
        <v>4.808001072</v>
      </c>
      <c r="M20" s="274">
        <f aca="true" t="shared" si="6" ref="M20:M83">J20-K20-L20</f>
        <v>2.7246159854891765</v>
      </c>
    </row>
    <row r="21" spans="2:13" ht="12.75">
      <c r="B21" s="271">
        <v>19.152</v>
      </c>
      <c r="C21" s="272">
        <v>0.2610693</v>
      </c>
      <c r="D21" s="272">
        <v>0.2610693</v>
      </c>
      <c r="E21" s="273">
        <f t="shared" si="0"/>
        <v>2.4190926789950677</v>
      </c>
      <c r="F21" s="273">
        <f t="shared" si="1"/>
        <v>-1.540626778921532</v>
      </c>
      <c r="G21" s="333">
        <f>'ERR &amp; Sensitivity Analysis'!$D$13</f>
        <v>84</v>
      </c>
      <c r="H21" s="332">
        <f>'ERR &amp; Sensitivity Analysis'!$D$14</f>
        <v>0.1</v>
      </c>
      <c r="I21" s="273">
        <f t="shared" si="2"/>
        <v>3.0847992336</v>
      </c>
      <c r="J21" s="272">
        <f t="shared" si="3"/>
        <v>-9.248523063497217</v>
      </c>
      <c r="K21" s="272">
        <f t="shared" si="4"/>
        <v>-15.537521128266558</v>
      </c>
      <c r="L21" s="272">
        <f t="shared" si="5"/>
        <v>3.0847992336</v>
      </c>
      <c r="M21" s="274">
        <f t="shared" si="6"/>
        <v>3.2041988311693412</v>
      </c>
    </row>
    <row r="22" spans="2:13" ht="12.75">
      <c r="B22" s="271">
        <v>19.152</v>
      </c>
      <c r="C22" s="272">
        <v>0.2610693</v>
      </c>
      <c r="D22" s="272">
        <v>0.2610693</v>
      </c>
      <c r="E22" s="273">
        <f t="shared" si="0"/>
        <v>2.4190926789950677</v>
      </c>
      <c r="F22" s="273">
        <f t="shared" si="1"/>
        <v>-1.540626778921532</v>
      </c>
      <c r="G22" s="333">
        <f>'ERR &amp; Sensitivity Analysis'!$D$13</f>
        <v>84</v>
      </c>
      <c r="H22" s="332">
        <f>'ERR &amp; Sensitivity Analysis'!$D$14</f>
        <v>0.1</v>
      </c>
      <c r="I22" s="273">
        <f t="shared" si="2"/>
        <v>3.0847992336</v>
      </c>
      <c r="J22" s="272">
        <f t="shared" si="3"/>
        <v>-9.248523063497217</v>
      </c>
      <c r="K22" s="272">
        <f t="shared" si="4"/>
        <v>-15.537521128266558</v>
      </c>
      <c r="L22" s="272">
        <f t="shared" si="5"/>
        <v>3.0847992336</v>
      </c>
      <c r="M22" s="274">
        <f t="shared" si="6"/>
        <v>3.2041988311693412</v>
      </c>
    </row>
    <row r="23" spans="2:13" ht="12.75">
      <c r="B23" s="271">
        <v>7.341599</v>
      </c>
      <c r="C23" s="272">
        <v>0.2724202</v>
      </c>
      <c r="D23" s="272">
        <v>0.2724202</v>
      </c>
      <c r="E23" s="273">
        <f t="shared" si="0"/>
        <v>0.31067764387589347</v>
      </c>
      <c r="F23" s="273">
        <f t="shared" si="1"/>
        <v>-2.43196928317916</v>
      </c>
      <c r="G23" s="333">
        <f>'ERR &amp; Sensitivity Analysis'!$D$13</f>
        <v>84</v>
      </c>
      <c r="H23" s="332">
        <f>'ERR &amp; Sensitivity Analysis'!$D$14</f>
        <v>0.1</v>
      </c>
      <c r="I23" s="273">
        <f t="shared" si="2"/>
        <v>1.2658399678998</v>
      </c>
      <c r="J23" s="272">
        <f t="shared" si="3"/>
        <v>-1.3966779115956576</v>
      </c>
      <c r="K23" s="272">
        <f t="shared" si="4"/>
        <v>-5.866047616154789</v>
      </c>
      <c r="L23" s="272">
        <f t="shared" si="5"/>
        <v>1.2658399678998</v>
      </c>
      <c r="M23" s="274">
        <f t="shared" si="6"/>
        <v>3.2035297366593314</v>
      </c>
    </row>
    <row r="24" spans="2:13" ht="12.75">
      <c r="B24" s="271">
        <v>25.536</v>
      </c>
      <c r="C24" s="272">
        <v>0.2741228</v>
      </c>
      <c r="D24" s="272">
        <v>0.2741228</v>
      </c>
      <c r="E24" s="273">
        <f t="shared" si="0"/>
        <v>5.539588722042642</v>
      </c>
      <c r="F24" s="273">
        <f t="shared" si="1"/>
        <v>-1.180801763639908</v>
      </c>
      <c r="G24" s="333">
        <f>'ERR &amp; Sensitivity Analysis'!$D$13</f>
        <v>84</v>
      </c>
      <c r="H24" s="332">
        <f>'ERR &amp; Sensitivity Analysis'!$D$14</f>
        <v>0.1</v>
      </c>
      <c r="I24" s="273">
        <f t="shared" si="2"/>
        <v>4.4463998208</v>
      </c>
      <c r="J24" s="272">
        <f t="shared" si="3"/>
        <v>-38.71643550303791</v>
      </c>
      <c r="K24" s="272">
        <f t="shared" si="4"/>
        <v>-46.45972379301441</v>
      </c>
      <c r="L24" s="272">
        <f t="shared" si="5"/>
        <v>4.4463998208</v>
      </c>
      <c r="M24" s="274">
        <f t="shared" si="6"/>
        <v>3.296888469176505</v>
      </c>
    </row>
    <row r="25" spans="2:13" ht="12.75">
      <c r="B25" s="271">
        <v>3.304</v>
      </c>
      <c r="C25" s="272">
        <v>0.3026634</v>
      </c>
      <c r="D25" s="272">
        <v>0.3026634</v>
      </c>
      <c r="E25" s="273">
        <f t="shared" si="0"/>
        <v>0.10058666958506726</v>
      </c>
      <c r="F25" s="273">
        <f t="shared" si="1"/>
        <v>-2.921738857123781</v>
      </c>
      <c r="G25" s="333">
        <f>'ERR &amp; Sensitivity Analysis'!$D$13</f>
        <v>84</v>
      </c>
      <c r="H25" s="332">
        <f>'ERR &amp; Sensitivity Analysis'!$D$14</f>
        <v>0.1</v>
      </c>
      <c r="I25" s="273">
        <f t="shared" si="2"/>
        <v>0.6695998736000001</v>
      </c>
      <c r="J25" s="272">
        <f t="shared" si="3"/>
        <v>-0.5203619991826961</v>
      </c>
      <c r="K25" s="272">
        <f t="shared" si="4"/>
        <v>-4.371041345634274</v>
      </c>
      <c r="L25" s="272">
        <f t="shared" si="5"/>
        <v>0.6695998736000001</v>
      </c>
      <c r="M25" s="274">
        <f t="shared" si="6"/>
        <v>3.181079472851578</v>
      </c>
    </row>
    <row r="26" spans="2:13" ht="12.75">
      <c r="B26" s="271">
        <v>13.216</v>
      </c>
      <c r="C26" s="272">
        <v>0.3026634</v>
      </c>
      <c r="D26" s="272">
        <v>0.3026634</v>
      </c>
      <c r="E26" s="273">
        <f t="shared" si="0"/>
        <v>1.7960926881091155</v>
      </c>
      <c r="F26" s="273">
        <f t="shared" si="1"/>
        <v>-1.6699505412051794</v>
      </c>
      <c r="G26" s="333">
        <f>'ERR &amp; Sensitivity Analysis'!$D$13</f>
        <v>84</v>
      </c>
      <c r="H26" s="332">
        <f>'ERR &amp; Sensitivity Analysis'!$D$14</f>
        <v>0.1</v>
      </c>
      <c r="I26" s="273">
        <f t="shared" si="2"/>
        <v>2.6783994944000002</v>
      </c>
      <c r="J26" s="272">
        <f t="shared" si="3"/>
        <v>-5.970589242609415</v>
      </c>
      <c r="K26" s="272">
        <f t="shared" si="4"/>
        <v>-12.538238994313183</v>
      </c>
      <c r="L26" s="272">
        <f t="shared" si="5"/>
        <v>2.6783994944000002</v>
      </c>
      <c r="M26" s="274">
        <f t="shared" si="6"/>
        <v>3.8892502573037677</v>
      </c>
    </row>
    <row r="27" spans="2:13" ht="12.75">
      <c r="B27" s="271">
        <v>6.384</v>
      </c>
      <c r="C27" s="272">
        <v>0.3132832</v>
      </c>
      <c r="D27" s="272">
        <v>0.3132832</v>
      </c>
      <c r="E27" s="273">
        <f t="shared" si="0"/>
        <v>0.4651241844550564</v>
      </c>
      <c r="F27" s="273">
        <f t="shared" si="1"/>
        <v>-2.256710364520019</v>
      </c>
      <c r="G27" s="333">
        <f>'ERR &amp; Sensitivity Analysis'!$D$13</f>
        <v>84</v>
      </c>
      <c r="H27" s="332">
        <f>'ERR &amp; Sensitivity Analysis'!$D$14</f>
        <v>0.1</v>
      </c>
      <c r="I27" s="273">
        <f t="shared" si="2"/>
        <v>1.3615999488</v>
      </c>
      <c r="J27" s="272">
        <f t="shared" si="3"/>
        <v>-1.5914565561523553</v>
      </c>
      <c r="K27" s="272">
        <f t="shared" si="4"/>
        <v>-6.684117706953308</v>
      </c>
      <c r="L27" s="272">
        <f t="shared" si="5"/>
        <v>1.3615999488</v>
      </c>
      <c r="M27" s="274">
        <f t="shared" si="6"/>
        <v>3.731061202000953</v>
      </c>
    </row>
    <row r="28" spans="2:13" ht="12.75">
      <c r="B28" s="271">
        <v>6.384</v>
      </c>
      <c r="C28" s="272">
        <v>0.3132832</v>
      </c>
      <c r="D28" s="272">
        <v>0.3132832</v>
      </c>
      <c r="E28" s="273">
        <f t="shared" si="0"/>
        <v>0.4651241844550564</v>
      </c>
      <c r="F28" s="273">
        <f t="shared" si="1"/>
        <v>-2.256710364520019</v>
      </c>
      <c r="G28" s="333">
        <f>'ERR &amp; Sensitivity Analysis'!$D$13</f>
        <v>84</v>
      </c>
      <c r="H28" s="332">
        <f>'ERR &amp; Sensitivity Analysis'!$D$14</f>
        <v>0.1</v>
      </c>
      <c r="I28" s="273">
        <f t="shared" si="2"/>
        <v>1.3615999488</v>
      </c>
      <c r="J28" s="272">
        <f t="shared" si="3"/>
        <v>-1.5914565561523553</v>
      </c>
      <c r="K28" s="272">
        <f t="shared" si="4"/>
        <v>-6.684117706953308</v>
      </c>
      <c r="L28" s="272">
        <f t="shared" si="5"/>
        <v>1.3615999488</v>
      </c>
      <c r="M28" s="274">
        <f t="shared" si="6"/>
        <v>3.731061202000953</v>
      </c>
    </row>
    <row r="29" spans="2:13" ht="12.75">
      <c r="B29" s="271">
        <v>9.576</v>
      </c>
      <c r="C29" s="272">
        <v>0.3132832</v>
      </c>
      <c r="D29" s="272">
        <v>0.3132832</v>
      </c>
      <c r="E29" s="273">
        <f t="shared" si="0"/>
        <v>1.0535051053132682</v>
      </c>
      <c r="F29" s="273">
        <f t="shared" si="1"/>
        <v>-1.9016426415102559</v>
      </c>
      <c r="G29" s="333">
        <f>'ERR &amp; Sensitivity Analysis'!$D$13</f>
        <v>84</v>
      </c>
      <c r="H29" s="332">
        <f>'ERR &amp; Sensitivity Analysis'!$D$14</f>
        <v>0.1</v>
      </c>
      <c r="I29" s="273">
        <f t="shared" si="2"/>
        <v>2.0423999232</v>
      </c>
      <c r="J29" s="272">
        <f t="shared" si="3"/>
        <v>-3.3272604744768777</v>
      </c>
      <c r="K29" s="272">
        <f t="shared" si="4"/>
        <v>-9.316329567033295</v>
      </c>
      <c r="L29" s="272">
        <f t="shared" si="5"/>
        <v>2.0423999232</v>
      </c>
      <c r="M29" s="274">
        <f t="shared" si="6"/>
        <v>3.9466691693564164</v>
      </c>
    </row>
    <row r="30" spans="2:13" ht="12.75">
      <c r="B30" s="271">
        <v>9.576</v>
      </c>
      <c r="C30" s="272">
        <v>0.3132832</v>
      </c>
      <c r="D30" s="272">
        <v>0.3132832</v>
      </c>
      <c r="E30" s="273">
        <f t="shared" si="0"/>
        <v>1.0535051053132682</v>
      </c>
      <c r="F30" s="273">
        <f t="shared" si="1"/>
        <v>-1.9016426415102559</v>
      </c>
      <c r="G30" s="333">
        <f>'ERR &amp; Sensitivity Analysis'!$D$13</f>
        <v>84</v>
      </c>
      <c r="H30" s="332">
        <f>'ERR &amp; Sensitivity Analysis'!$D$14</f>
        <v>0.1</v>
      </c>
      <c r="I30" s="273">
        <f t="shared" si="2"/>
        <v>2.0423999232</v>
      </c>
      <c r="J30" s="272">
        <f t="shared" si="3"/>
        <v>-3.3272604744768777</v>
      </c>
      <c r="K30" s="272">
        <f t="shared" si="4"/>
        <v>-9.316329567033295</v>
      </c>
      <c r="L30" s="272">
        <f t="shared" si="5"/>
        <v>2.0423999232</v>
      </c>
      <c r="M30" s="274">
        <f t="shared" si="6"/>
        <v>3.9466691693564164</v>
      </c>
    </row>
    <row r="31" spans="2:13" ht="12.75">
      <c r="B31" s="271">
        <v>12.768</v>
      </c>
      <c r="C31" s="272">
        <v>0.3132832</v>
      </c>
      <c r="D31" s="272">
        <v>0.3132832</v>
      </c>
      <c r="E31" s="273">
        <f t="shared" si="0"/>
        <v>1.8817468738886518</v>
      </c>
      <c r="F31" s="273">
        <f t="shared" si="1"/>
        <v>-1.6497180828403784</v>
      </c>
      <c r="G31" s="333">
        <f>'ERR &amp; Sensitivity Analysis'!$D$13</f>
        <v>84</v>
      </c>
      <c r="H31" s="332">
        <f>'ERR &amp; Sensitivity Analysis'!$D$14</f>
        <v>0.1</v>
      </c>
      <c r="I31" s="273">
        <f t="shared" si="2"/>
        <v>2.7231998976</v>
      </c>
      <c r="J31" s="272">
        <f t="shared" si="3"/>
        <v>-6.1565161925510274</v>
      </c>
      <c r="K31" s="272">
        <f t="shared" si="4"/>
        <v>-12.92868433533148</v>
      </c>
      <c r="L31" s="272">
        <f t="shared" si="5"/>
        <v>2.7231998976</v>
      </c>
      <c r="M31" s="274">
        <f t="shared" si="6"/>
        <v>4.048968245180453</v>
      </c>
    </row>
    <row r="32" spans="2:13" ht="12.75">
      <c r="B32" s="271">
        <v>12.768</v>
      </c>
      <c r="C32" s="272">
        <v>0.3132832</v>
      </c>
      <c r="D32" s="272">
        <v>0.3132832</v>
      </c>
      <c r="E32" s="273">
        <f t="shared" si="0"/>
        <v>1.8817468738886518</v>
      </c>
      <c r="F32" s="273">
        <f t="shared" si="1"/>
        <v>-1.6497180828403784</v>
      </c>
      <c r="G32" s="333">
        <f>'ERR &amp; Sensitivity Analysis'!$D$13</f>
        <v>84</v>
      </c>
      <c r="H32" s="332">
        <f>'ERR &amp; Sensitivity Analysis'!$D$14</f>
        <v>0.1</v>
      </c>
      <c r="I32" s="273">
        <f t="shared" si="2"/>
        <v>2.7231998976</v>
      </c>
      <c r="J32" s="272">
        <f t="shared" si="3"/>
        <v>-6.1565161925510274</v>
      </c>
      <c r="K32" s="272">
        <f t="shared" si="4"/>
        <v>-12.92868433533148</v>
      </c>
      <c r="L32" s="272">
        <f t="shared" si="5"/>
        <v>2.7231998976</v>
      </c>
      <c r="M32" s="274">
        <f t="shared" si="6"/>
        <v>4.048968245180453</v>
      </c>
    </row>
    <row r="33" spans="2:13" ht="12.75">
      <c r="B33" s="271">
        <v>19.152</v>
      </c>
      <c r="C33" s="272">
        <v>0.3132832</v>
      </c>
      <c r="D33" s="272">
        <v>0.3132832</v>
      </c>
      <c r="E33" s="273">
        <f t="shared" si="0"/>
        <v>4.262151925881063</v>
      </c>
      <c r="F33" s="273">
        <f t="shared" si="1"/>
        <v>-1.2946503598306154</v>
      </c>
      <c r="G33" s="333">
        <f>'ERR &amp; Sensitivity Analysis'!$D$13</f>
        <v>84</v>
      </c>
      <c r="H33" s="332">
        <f>'ERR &amp; Sensitivity Analysis'!$D$14</f>
        <v>0.1</v>
      </c>
      <c r="I33" s="273">
        <f t="shared" si="2"/>
        <v>4.0847998464</v>
      </c>
      <c r="J33" s="272">
        <f t="shared" si="3"/>
        <v>-20.363117322677624</v>
      </c>
      <c r="K33" s="272">
        <f t="shared" si="4"/>
        <v>-28.508364981562817</v>
      </c>
      <c r="L33" s="272">
        <f t="shared" si="5"/>
        <v>4.0847998464</v>
      </c>
      <c r="M33" s="274">
        <f t="shared" si="6"/>
        <v>4.060447812485193</v>
      </c>
    </row>
    <row r="34" spans="2:13" ht="12.75">
      <c r="B34" s="271">
        <v>19.152</v>
      </c>
      <c r="C34" s="272">
        <v>0.3132832</v>
      </c>
      <c r="D34" s="272">
        <v>0.3132832</v>
      </c>
      <c r="E34" s="273">
        <f t="shared" si="0"/>
        <v>4.262151925881063</v>
      </c>
      <c r="F34" s="273">
        <f t="shared" si="1"/>
        <v>-1.2946503598306154</v>
      </c>
      <c r="G34" s="333">
        <f>'ERR &amp; Sensitivity Analysis'!$D$13</f>
        <v>84</v>
      </c>
      <c r="H34" s="332">
        <f>'ERR &amp; Sensitivity Analysis'!$D$14</f>
        <v>0.1</v>
      </c>
      <c r="I34" s="273">
        <f t="shared" si="2"/>
        <v>4.0847998464</v>
      </c>
      <c r="J34" s="272">
        <f t="shared" si="3"/>
        <v>-20.363117322677624</v>
      </c>
      <c r="K34" s="272">
        <f t="shared" si="4"/>
        <v>-28.508364981562817</v>
      </c>
      <c r="L34" s="272">
        <f t="shared" si="5"/>
        <v>4.0847998464</v>
      </c>
      <c r="M34" s="274">
        <f t="shared" si="6"/>
        <v>4.060447812485193</v>
      </c>
    </row>
    <row r="35" spans="2:13" ht="12.75">
      <c r="B35" s="271">
        <v>6.048</v>
      </c>
      <c r="C35" s="272">
        <v>0.3306879</v>
      </c>
      <c r="D35" s="272">
        <v>0.3306879</v>
      </c>
      <c r="E35" s="273">
        <f t="shared" si="0"/>
        <v>0.5301281574525819</v>
      </c>
      <c r="F35" s="273">
        <f t="shared" si="1"/>
        <v>-2.199898413920879</v>
      </c>
      <c r="G35" s="333">
        <f>'ERR &amp; Sensitivity Analysis'!$D$13</f>
        <v>84</v>
      </c>
      <c r="H35" s="332">
        <f>'ERR &amp; Sensitivity Analysis'!$D$14</f>
        <v>0.1</v>
      </c>
      <c r="I35" s="273">
        <f t="shared" si="2"/>
        <v>1.3952004191999998</v>
      </c>
      <c r="J35" s="272">
        <f t="shared" si="3"/>
        <v>-1.6668081197512772</v>
      </c>
      <c r="K35" s="272">
        <f t="shared" si="4"/>
        <v>-7.000592635631144</v>
      </c>
      <c r="L35" s="272">
        <f t="shared" si="5"/>
        <v>1.3952004191999998</v>
      </c>
      <c r="M35" s="274">
        <f t="shared" si="6"/>
        <v>3.9385840966798673</v>
      </c>
    </row>
    <row r="36" spans="2:13" ht="12.75">
      <c r="B36" s="271">
        <v>14.868</v>
      </c>
      <c r="C36" s="272">
        <v>0.3362927</v>
      </c>
      <c r="D36" s="272">
        <v>0.3362927</v>
      </c>
      <c r="E36" s="273">
        <f t="shared" si="0"/>
        <v>3.137025639695407</v>
      </c>
      <c r="F36" s="273">
        <f t="shared" si="1"/>
        <v>-1.4277612177521737</v>
      </c>
      <c r="G36" s="333">
        <f>'ERR &amp; Sensitivity Analysis'!$D$13</f>
        <v>84</v>
      </c>
      <c r="H36" s="332">
        <f>'ERR &amp; Sensitivity Analysis'!$D$14</f>
        <v>0.1</v>
      </c>
      <c r="I36" s="273">
        <f t="shared" si="2"/>
        <v>3.5131998636</v>
      </c>
      <c r="J36" s="272">
        <f t="shared" si="3"/>
        <v>-11.688763861937531</v>
      </c>
      <c r="K36" s="272">
        <f t="shared" si="4"/>
        <v>-19.637123823755786</v>
      </c>
      <c r="L36" s="272">
        <f t="shared" si="5"/>
        <v>3.5131998636</v>
      </c>
      <c r="M36" s="274">
        <f t="shared" si="6"/>
        <v>4.435160098218255</v>
      </c>
    </row>
    <row r="37" spans="2:13" ht="12.75">
      <c r="B37" s="271">
        <v>11.62</v>
      </c>
      <c r="C37" s="272">
        <v>0.3442341</v>
      </c>
      <c r="D37" s="272">
        <v>0.3442341</v>
      </c>
      <c r="E37" s="273">
        <f t="shared" si="0"/>
        <v>2.1090170866857423</v>
      </c>
      <c r="F37" s="273">
        <f t="shared" si="1"/>
        <v>-1.6001991877717685</v>
      </c>
      <c r="G37" s="333">
        <f>'ERR &amp; Sensitivity Analysis'!$D$13</f>
        <v>84</v>
      </c>
      <c r="H37" s="332">
        <f>'ERR &amp; Sensitivity Analysis'!$D$14</f>
        <v>0.1</v>
      </c>
      <c r="I37" s="273">
        <f t="shared" si="2"/>
        <v>2.8380002419999997</v>
      </c>
      <c r="J37" s="272">
        <f t="shared" si="3"/>
        <v>-6.664454606894666</v>
      </c>
      <c r="K37" s="272">
        <f t="shared" si="4"/>
        <v>-13.995353827759892</v>
      </c>
      <c r="L37" s="272">
        <f t="shared" si="5"/>
        <v>2.8380002419999997</v>
      </c>
      <c r="M37" s="274">
        <f t="shared" si="6"/>
        <v>4.4928989788652265</v>
      </c>
    </row>
    <row r="38" spans="2:13" ht="12.75">
      <c r="B38" s="271">
        <v>6.384</v>
      </c>
      <c r="C38" s="272">
        <v>0.3446116</v>
      </c>
      <c r="D38" s="272">
        <v>0.3446116</v>
      </c>
      <c r="E38" s="273">
        <f t="shared" si="0"/>
        <v>0.6940852750926731</v>
      </c>
      <c r="F38" s="273">
        <f t="shared" si="1"/>
        <v>-2.082866455049282</v>
      </c>
      <c r="G38" s="333">
        <f>'ERR &amp; Sensitivity Analysis'!$D$13</f>
        <v>84</v>
      </c>
      <c r="H38" s="332">
        <f>'ERR &amp; Sensitivity Analysis'!$D$14</f>
        <v>0.1</v>
      </c>
      <c r="I38" s="273">
        <f t="shared" si="2"/>
        <v>1.5616004544000002</v>
      </c>
      <c r="J38" s="272">
        <f t="shared" si="3"/>
        <v>-2.031645217322645</v>
      </c>
      <c r="K38" s="272">
        <f t="shared" si="4"/>
        <v>-7.7571892275651955</v>
      </c>
      <c r="L38" s="272">
        <f t="shared" si="5"/>
        <v>1.5616004544000002</v>
      </c>
      <c r="M38" s="274">
        <f t="shared" si="6"/>
        <v>4.16394355584255</v>
      </c>
    </row>
    <row r="39" spans="2:13" ht="12.75">
      <c r="B39" s="271">
        <v>4.956</v>
      </c>
      <c r="C39" s="272">
        <v>0.3531074</v>
      </c>
      <c r="D39" s="272">
        <v>0.3531074</v>
      </c>
      <c r="E39" s="273">
        <f t="shared" si="0"/>
        <v>0.47965287160436243</v>
      </c>
      <c r="F39" s="273">
        <f t="shared" si="1"/>
        <v>-2.2433522371971057</v>
      </c>
      <c r="G39" s="333">
        <f>'ERR &amp; Sensitivity Analysis'!$D$13</f>
        <v>84</v>
      </c>
      <c r="H39" s="332">
        <f>'ERR &amp; Sensitivity Analysis'!$D$14</f>
        <v>0.1</v>
      </c>
      <c r="I39" s="273">
        <f t="shared" si="2"/>
        <v>1.2544002744</v>
      </c>
      <c r="J39" s="272">
        <f t="shared" si="3"/>
        <v>-1.4074855234467056</v>
      </c>
      <c r="K39" s="272">
        <f t="shared" si="4"/>
        <v>-6.755929453214447</v>
      </c>
      <c r="L39" s="272">
        <f t="shared" si="5"/>
        <v>1.2544002744</v>
      </c>
      <c r="M39" s="274">
        <f t="shared" si="6"/>
        <v>4.0940436553677415</v>
      </c>
    </row>
    <row r="40" spans="2:13" ht="12.75">
      <c r="B40" s="271">
        <v>19.152</v>
      </c>
      <c r="C40" s="272">
        <v>0.3654971</v>
      </c>
      <c r="D40" s="272">
        <v>0.3654971</v>
      </c>
      <c r="E40" s="273">
        <f t="shared" si="0"/>
        <v>6.075873063496851</v>
      </c>
      <c r="F40" s="273">
        <f t="shared" si="1"/>
        <v>-1.1406705940111475</v>
      </c>
      <c r="G40" s="333">
        <f>'ERR &amp; Sensitivity Analysis'!$D$13</f>
        <v>84</v>
      </c>
      <c r="H40" s="332">
        <f>'ERR &amp; Sensitivity Analysis'!$D$14</f>
        <v>0.1</v>
      </c>
      <c r="I40" s="273">
        <f t="shared" si="2"/>
        <v>5.084800459200001</v>
      </c>
      <c r="J40" s="272">
        <f t="shared" si="3"/>
        <v>-49.76164711897986</v>
      </c>
      <c r="K40" s="272">
        <f t="shared" si="4"/>
        <v>-59.71397262553922</v>
      </c>
      <c r="L40" s="272">
        <f t="shared" si="5"/>
        <v>5.084800459200001</v>
      </c>
      <c r="M40" s="274">
        <f t="shared" si="6"/>
        <v>4.8675250473593605</v>
      </c>
    </row>
    <row r="41" spans="2:13" ht="12.75">
      <c r="B41" s="271">
        <v>19.152</v>
      </c>
      <c r="C41" s="272">
        <v>0.3654971</v>
      </c>
      <c r="D41" s="272">
        <v>0.3654971</v>
      </c>
      <c r="E41" s="273">
        <f t="shared" si="0"/>
        <v>6.075873063496851</v>
      </c>
      <c r="F41" s="273">
        <f t="shared" si="1"/>
        <v>-1.1406705940111475</v>
      </c>
      <c r="G41" s="333">
        <f>'ERR &amp; Sensitivity Analysis'!$D$13</f>
        <v>84</v>
      </c>
      <c r="H41" s="332">
        <f>'ERR &amp; Sensitivity Analysis'!$D$14</f>
        <v>0.1</v>
      </c>
      <c r="I41" s="273">
        <f t="shared" si="2"/>
        <v>5.084800459200001</v>
      </c>
      <c r="J41" s="272">
        <f t="shared" si="3"/>
        <v>-49.76164711897986</v>
      </c>
      <c r="K41" s="272">
        <f t="shared" si="4"/>
        <v>-59.71397262553922</v>
      </c>
      <c r="L41" s="272">
        <f t="shared" si="5"/>
        <v>5.084800459200001</v>
      </c>
      <c r="M41" s="274">
        <f t="shared" si="6"/>
        <v>4.8675250473593605</v>
      </c>
    </row>
    <row r="42" spans="2:13" ht="12.75">
      <c r="B42" s="271">
        <v>19.152</v>
      </c>
      <c r="C42" s="272">
        <v>0.3654971</v>
      </c>
      <c r="D42" s="272">
        <v>0.3654971</v>
      </c>
      <c r="E42" s="273">
        <f t="shared" si="0"/>
        <v>6.075873063496851</v>
      </c>
      <c r="F42" s="273">
        <f t="shared" si="1"/>
        <v>-1.1406705940111475</v>
      </c>
      <c r="G42" s="333">
        <f>'ERR &amp; Sensitivity Analysis'!$D$13</f>
        <v>84</v>
      </c>
      <c r="H42" s="332">
        <f>'ERR &amp; Sensitivity Analysis'!$D$14</f>
        <v>0.1</v>
      </c>
      <c r="I42" s="273">
        <f t="shared" si="2"/>
        <v>5.084800459200001</v>
      </c>
      <c r="J42" s="272">
        <f t="shared" si="3"/>
        <v>-49.76164711897986</v>
      </c>
      <c r="K42" s="272">
        <f t="shared" si="4"/>
        <v>-59.71397262553922</v>
      </c>
      <c r="L42" s="272">
        <f t="shared" si="5"/>
        <v>5.084800459200001</v>
      </c>
      <c r="M42" s="274">
        <f t="shared" si="6"/>
        <v>4.8675250473593605</v>
      </c>
    </row>
    <row r="43" spans="2:13" ht="12.75">
      <c r="B43" s="271">
        <v>19.152</v>
      </c>
      <c r="C43" s="272">
        <v>0.3654971</v>
      </c>
      <c r="D43" s="272">
        <v>0.3654971</v>
      </c>
      <c r="E43" s="273">
        <f t="shared" si="0"/>
        <v>6.075873063496851</v>
      </c>
      <c r="F43" s="273">
        <f t="shared" si="1"/>
        <v>-1.1406705940111475</v>
      </c>
      <c r="G43" s="333">
        <f>'ERR &amp; Sensitivity Analysis'!$D$13</f>
        <v>84</v>
      </c>
      <c r="H43" s="332">
        <f>'ERR &amp; Sensitivity Analysis'!$D$14</f>
        <v>0.1</v>
      </c>
      <c r="I43" s="273">
        <f t="shared" si="2"/>
        <v>5.084800459200001</v>
      </c>
      <c r="J43" s="272">
        <f t="shared" si="3"/>
        <v>-49.76164711897986</v>
      </c>
      <c r="K43" s="272">
        <f t="shared" si="4"/>
        <v>-59.71397262553922</v>
      </c>
      <c r="L43" s="272">
        <f t="shared" si="5"/>
        <v>5.084800459200001</v>
      </c>
      <c r="M43" s="274">
        <f t="shared" si="6"/>
        <v>4.8675250473593605</v>
      </c>
    </row>
    <row r="44" spans="2:13" ht="12.75">
      <c r="B44" s="271">
        <v>12.768</v>
      </c>
      <c r="C44" s="272">
        <v>0.391604</v>
      </c>
      <c r="D44" s="272">
        <v>0.391604</v>
      </c>
      <c r="E44" s="273">
        <f t="shared" si="0"/>
        <v>3.5013303589179254</v>
      </c>
      <c r="F44" s="273">
        <f t="shared" si="1"/>
        <v>-1.3800461966375015</v>
      </c>
      <c r="G44" s="333">
        <f>'ERR &amp; Sensitivity Analysis'!$D$13</f>
        <v>84</v>
      </c>
      <c r="H44" s="332">
        <f>'ERR &amp; Sensitivity Analysis'!$D$14</f>
        <v>0.1</v>
      </c>
      <c r="I44" s="273">
        <f t="shared" si="2"/>
        <v>3.723199872</v>
      </c>
      <c r="J44" s="272">
        <f t="shared" si="3"/>
        <v>-13.156294987919951</v>
      </c>
      <c r="K44" s="272">
        <f t="shared" si="4"/>
        <v>-22.10257614553146</v>
      </c>
      <c r="L44" s="272">
        <f t="shared" si="5"/>
        <v>3.723199872</v>
      </c>
      <c r="M44" s="274">
        <f t="shared" si="6"/>
        <v>5.22308128561151</v>
      </c>
    </row>
    <row r="45" spans="2:13" ht="12.75">
      <c r="B45" s="271">
        <v>25.536</v>
      </c>
      <c r="C45" s="272">
        <v>0.391604</v>
      </c>
      <c r="D45" s="272">
        <v>0.391604</v>
      </c>
      <c r="E45" s="273">
        <f t="shared" si="0"/>
        <v>11.272055357444334</v>
      </c>
      <c r="F45" s="273">
        <f t="shared" si="1"/>
        <v>-0.8722761731204849</v>
      </c>
      <c r="G45" s="333">
        <f>'ERR &amp; Sensitivity Analysis'!$D$13</f>
        <v>84</v>
      </c>
      <c r="H45" s="332">
        <f>'ERR &amp; Sensitivity Analysis'!$D$14</f>
        <v>0.1</v>
      </c>
      <c r="I45" s="273">
        <f t="shared" si="2"/>
        <v>7.446399744</v>
      </c>
      <c r="J45" s="272">
        <f t="shared" si="3"/>
        <v>78.293925168976</v>
      </c>
      <c r="K45" s="272">
        <f t="shared" si="4"/>
        <v>65.76689882557245</v>
      </c>
      <c r="L45" s="272">
        <f t="shared" si="5"/>
        <v>7.446399744</v>
      </c>
      <c r="M45" s="274">
        <f t="shared" si="6"/>
        <v>5.080626599403549</v>
      </c>
    </row>
    <row r="46" spans="2:13" ht="12.75">
      <c r="B46" s="271">
        <v>9.576</v>
      </c>
      <c r="C46" s="272">
        <v>0.4177109</v>
      </c>
      <c r="D46" s="272">
        <v>0.4177109</v>
      </c>
      <c r="E46" s="273">
        <f t="shared" si="0"/>
        <v>2.542750649565967</v>
      </c>
      <c r="F46" s="273">
        <f t="shared" si="1"/>
        <v>-1.5189755121335569</v>
      </c>
      <c r="G46" s="333">
        <f>'ERR &amp; Sensitivity Analysis'!$D$13</f>
        <v>84</v>
      </c>
      <c r="H46" s="332">
        <f>'ERR &amp; Sensitivity Analysis'!$D$14</f>
        <v>0.1</v>
      </c>
      <c r="I46" s="273">
        <f t="shared" si="2"/>
        <v>3.0423995784000004</v>
      </c>
      <c r="J46" s="272">
        <f t="shared" si="3"/>
        <v>-7.7074919430314335</v>
      </c>
      <c r="K46" s="272">
        <f t="shared" si="4"/>
        <v>-16.185734786342458</v>
      </c>
      <c r="L46" s="272">
        <f t="shared" si="5"/>
        <v>3.0423995784000004</v>
      </c>
      <c r="M46" s="274">
        <f t="shared" si="6"/>
        <v>5.435843264911024</v>
      </c>
    </row>
    <row r="47" spans="2:13" ht="12.75">
      <c r="B47" s="271">
        <v>9.576</v>
      </c>
      <c r="C47" s="272">
        <v>0.4177109</v>
      </c>
      <c r="D47" s="272">
        <v>0.4177109</v>
      </c>
      <c r="E47" s="273">
        <f t="shared" si="0"/>
        <v>2.542750649565967</v>
      </c>
      <c r="F47" s="273">
        <f t="shared" si="1"/>
        <v>-1.5189755121335569</v>
      </c>
      <c r="G47" s="333">
        <f>'ERR &amp; Sensitivity Analysis'!$D$13</f>
        <v>84</v>
      </c>
      <c r="H47" s="332">
        <f>'ERR &amp; Sensitivity Analysis'!$D$14</f>
        <v>0.1</v>
      </c>
      <c r="I47" s="273">
        <f t="shared" si="2"/>
        <v>3.0423995784000004</v>
      </c>
      <c r="J47" s="272">
        <f t="shared" si="3"/>
        <v>-7.7074919430314335</v>
      </c>
      <c r="K47" s="272">
        <f t="shared" si="4"/>
        <v>-16.185734786342458</v>
      </c>
      <c r="L47" s="272">
        <f t="shared" si="5"/>
        <v>3.0423995784000004</v>
      </c>
      <c r="M47" s="274">
        <f t="shared" si="6"/>
        <v>5.435843264911024</v>
      </c>
    </row>
    <row r="48" spans="2:13" ht="12.75">
      <c r="B48" s="271">
        <v>9.576</v>
      </c>
      <c r="C48" s="272">
        <v>0.4177109</v>
      </c>
      <c r="D48" s="272">
        <v>0.4177109</v>
      </c>
      <c r="E48" s="273">
        <f t="shared" si="0"/>
        <v>2.542750649565967</v>
      </c>
      <c r="F48" s="273">
        <f t="shared" si="1"/>
        <v>-1.5189755121335569</v>
      </c>
      <c r="G48" s="333">
        <f>'ERR &amp; Sensitivity Analysis'!$D$13</f>
        <v>84</v>
      </c>
      <c r="H48" s="332">
        <f>'ERR &amp; Sensitivity Analysis'!$D$14</f>
        <v>0.1</v>
      </c>
      <c r="I48" s="273">
        <f t="shared" si="2"/>
        <v>3.0423995784000004</v>
      </c>
      <c r="J48" s="272">
        <f t="shared" si="3"/>
        <v>-7.7074919430314335</v>
      </c>
      <c r="K48" s="272">
        <f t="shared" si="4"/>
        <v>-16.185734786342458</v>
      </c>
      <c r="L48" s="272">
        <f t="shared" si="5"/>
        <v>3.0423995784000004</v>
      </c>
      <c r="M48" s="274">
        <f t="shared" si="6"/>
        <v>5.435843264911024</v>
      </c>
    </row>
    <row r="49" spans="2:13" ht="12.75">
      <c r="B49" s="271">
        <v>19.152</v>
      </c>
      <c r="C49" s="272">
        <v>0.4177109</v>
      </c>
      <c r="D49" s="272">
        <v>0.4177109</v>
      </c>
      <c r="E49" s="273">
        <f t="shared" si="0"/>
        <v>7.765172943218234</v>
      </c>
      <c r="F49" s="273">
        <f t="shared" si="1"/>
        <v>-1.0341281534346562</v>
      </c>
      <c r="G49" s="333">
        <f>'ERR &amp; Sensitivity Analysis'!$D$13</f>
        <v>84</v>
      </c>
      <c r="H49" s="332">
        <f>'ERR &amp; Sensitivity Analysis'!$D$14</f>
        <v>0.1</v>
      </c>
      <c r="I49" s="273">
        <f t="shared" si="2"/>
        <v>6.084799156800001</v>
      </c>
      <c r="J49" s="272">
        <f t="shared" si="3"/>
        <v>-234.410548233067</v>
      </c>
      <c r="K49" s="272">
        <f t="shared" si="4"/>
        <v>-246.13110158693846</v>
      </c>
      <c r="L49" s="272">
        <f t="shared" si="5"/>
        <v>6.084799156800001</v>
      </c>
      <c r="M49" s="274">
        <f t="shared" si="6"/>
        <v>5.635754197071451</v>
      </c>
    </row>
    <row r="50" spans="2:13" ht="12.75">
      <c r="B50" s="271">
        <v>19.152</v>
      </c>
      <c r="C50" s="272">
        <v>0.4177109</v>
      </c>
      <c r="D50" s="272">
        <v>0.4177109</v>
      </c>
      <c r="E50" s="273">
        <f t="shared" si="0"/>
        <v>7.765172943218234</v>
      </c>
      <c r="F50" s="273">
        <f t="shared" si="1"/>
        <v>-1.0341281534346562</v>
      </c>
      <c r="G50" s="333">
        <f>'ERR &amp; Sensitivity Analysis'!$D$13</f>
        <v>84</v>
      </c>
      <c r="H50" s="332">
        <f>'ERR &amp; Sensitivity Analysis'!$D$14</f>
        <v>0.1</v>
      </c>
      <c r="I50" s="273">
        <f t="shared" si="2"/>
        <v>6.084799156800001</v>
      </c>
      <c r="J50" s="272">
        <f t="shared" si="3"/>
        <v>-234.410548233067</v>
      </c>
      <c r="K50" s="272">
        <f t="shared" si="4"/>
        <v>-246.13110158693846</v>
      </c>
      <c r="L50" s="272">
        <f t="shared" si="5"/>
        <v>6.084799156800001</v>
      </c>
      <c r="M50" s="274">
        <f t="shared" si="6"/>
        <v>5.635754197071451</v>
      </c>
    </row>
    <row r="51" spans="2:13" ht="12.75">
      <c r="B51" s="271">
        <v>19.152</v>
      </c>
      <c r="C51" s="272">
        <v>0.4177109</v>
      </c>
      <c r="D51" s="272">
        <v>0.4177109</v>
      </c>
      <c r="E51" s="273">
        <f t="shared" si="0"/>
        <v>7.765172943218234</v>
      </c>
      <c r="F51" s="273">
        <f t="shared" si="1"/>
        <v>-1.0341281534346562</v>
      </c>
      <c r="G51" s="333">
        <f>'ERR &amp; Sensitivity Analysis'!$D$13</f>
        <v>84</v>
      </c>
      <c r="H51" s="332">
        <f>'ERR &amp; Sensitivity Analysis'!$D$14</f>
        <v>0.1</v>
      </c>
      <c r="I51" s="273">
        <f t="shared" si="2"/>
        <v>6.084799156800001</v>
      </c>
      <c r="J51" s="272">
        <f t="shared" si="3"/>
        <v>-234.410548233067</v>
      </c>
      <c r="K51" s="272">
        <f t="shared" si="4"/>
        <v>-246.13110158693846</v>
      </c>
      <c r="L51" s="272">
        <f t="shared" si="5"/>
        <v>6.084799156800001</v>
      </c>
      <c r="M51" s="274">
        <f t="shared" si="6"/>
        <v>5.635754197071451</v>
      </c>
    </row>
    <row r="52" spans="2:13" ht="12.75">
      <c r="B52" s="271">
        <v>38.304</v>
      </c>
      <c r="C52" s="272">
        <v>0.4177109</v>
      </c>
      <c r="D52" s="272">
        <v>0.4177109</v>
      </c>
      <c r="E52" s="273">
        <f t="shared" si="0"/>
        <v>23.71365467879482</v>
      </c>
      <c r="F52" s="273">
        <f t="shared" si="1"/>
        <v>-0.5492807947357556</v>
      </c>
      <c r="G52" s="333">
        <f>'ERR &amp; Sensitivity Analysis'!$D$13</f>
        <v>84</v>
      </c>
      <c r="H52" s="332">
        <f>'ERR &amp; Sensitivity Analysis'!$D$14</f>
        <v>0.1</v>
      </c>
      <c r="I52" s="273">
        <f t="shared" si="2"/>
        <v>12.169598313600002</v>
      </c>
      <c r="J52" s="272">
        <f t="shared" si="3"/>
        <v>35.4988163954976</v>
      </c>
      <c r="K52" s="272">
        <f t="shared" si="4"/>
        <v>18.63688057196345</v>
      </c>
      <c r="L52" s="272">
        <f t="shared" si="5"/>
        <v>12.169598313600002</v>
      </c>
      <c r="M52" s="274">
        <f t="shared" si="6"/>
        <v>4.692337509934148</v>
      </c>
    </row>
    <row r="53" spans="2:13" ht="12.75">
      <c r="B53" s="271">
        <v>3.192</v>
      </c>
      <c r="C53" s="272">
        <v>0.4229324</v>
      </c>
      <c r="D53" s="272">
        <v>0.4229324</v>
      </c>
      <c r="E53" s="273">
        <f t="shared" si="0"/>
        <v>0.45346581140258657</v>
      </c>
      <c r="F53" s="273">
        <f t="shared" si="1"/>
        <v>-2.267734736625875</v>
      </c>
      <c r="G53" s="333">
        <f>'ERR &amp; Sensitivity Analysis'!$D$13</f>
        <v>84</v>
      </c>
      <c r="H53" s="332">
        <f>'ERR &amp; Sensitivity Analysis'!$D$14</f>
        <v>0.1</v>
      </c>
      <c r="I53" s="273">
        <f t="shared" si="2"/>
        <v>1.0308002208</v>
      </c>
      <c r="J53" s="272">
        <f t="shared" si="3"/>
        <v>-1.0648917173265111</v>
      </c>
      <c r="K53" s="272">
        <f t="shared" si="4"/>
        <v>-6.625991824091628</v>
      </c>
      <c r="L53" s="272">
        <f t="shared" si="5"/>
        <v>1.0308002208</v>
      </c>
      <c r="M53" s="274">
        <f t="shared" si="6"/>
        <v>4.530299885965117</v>
      </c>
    </row>
    <row r="54" spans="2:13" ht="12.75">
      <c r="B54" s="271">
        <v>3.192</v>
      </c>
      <c r="C54" s="272">
        <v>0.4229324</v>
      </c>
      <c r="D54" s="272">
        <v>0.4229324</v>
      </c>
      <c r="E54" s="273">
        <f t="shared" si="0"/>
        <v>0.45346581140258657</v>
      </c>
      <c r="F54" s="273">
        <f t="shared" si="1"/>
        <v>-2.267734736625875</v>
      </c>
      <c r="G54" s="333">
        <f>'ERR &amp; Sensitivity Analysis'!$D$13</f>
        <v>84</v>
      </c>
      <c r="H54" s="332">
        <f>'ERR &amp; Sensitivity Analysis'!$D$14</f>
        <v>0.1</v>
      </c>
      <c r="I54" s="273">
        <f t="shared" si="2"/>
        <v>1.0308002208</v>
      </c>
      <c r="J54" s="272">
        <f t="shared" si="3"/>
        <v>-1.0648917173265111</v>
      </c>
      <c r="K54" s="272">
        <f t="shared" si="4"/>
        <v>-6.625991824091628</v>
      </c>
      <c r="L54" s="272">
        <f t="shared" si="5"/>
        <v>1.0308002208</v>
      </c>
      <c r="M54" s="274">
        <f t="shared" si="6"/>
        <v>4.530299885965117</v>
      </c>
    </row>
    <row r="55" spans="2:13" ht="12.75">
      <c r="B55" s="271">
        <v>12.768</v>
      </c>
      <c r="C55" s="272">
        <v>0.4307644</v>
      </c>
      <c r="D55" s="272">
        <v>0.4307644</v>
      </c>
      <c r="E55" s="273">
        <f t="shared" si="0"/>
        <v>4.30823794497883</v>
      </c>
      <c r="F55" s="273">
        <f t="shared" si="1"/>
        <v>-1.2899796045887804</v>
      </c>
      <c r="G55" s="333">
        <f>'ERR &amp; Sensitivity Analysis'!$D$13</f>
        <v>84</v>
      </c>
      <c r="H55" s="332">
        <f>'ERR &amp; Sensitivity Analysis'!$D$14</f>
        <v>0.1</v>
      </c>
      <c r="I55" s="273">
        <f t="shared" si="2"/>
        <v>4.223199859199999</v>
      </c>
      <c r="J55" s="272">
        <f t="shared" si="3"/>
        <v>-18.966850675583</v>
      </c>
      <c r="K55" s="272">
        <f t="shared" si="4"/>
        <v>-28.967554500641615</v>
      </c>
      <c r="L55" s="272">
        <f t="shared" si="5"/>
        <v>4.223199859199999</v>
      </c>
      <c r="M55" s="274">
        <f t="shared" si="6"/>
        <v>5.777503965858616</v>
      </c>
    </row>
    <row r="56" spans="2:13" ht="12.75">
      <c r="B56" s="271">
        <v>6.384</v>
      </c>
      <c r="C56" s="272">
        <v>0.4385965</v>
      </c>
      <c r="D56" s="272">
        <v>0.4385965</v>
      </c>
      <c r="E56" s="273">
        <f t="shared" si="0"/>
        <v>1.517662483899928</v>
      </c>
      <c r="F56" s="273">
        <f t="shared" si="1"/>
        <v>-1.7431040874127461</v>
      </c>
      <c r="G56" s="333">
        <f>'ERR &amp; Sensitivity Analysis'!$D$13</f>
        <v>84</v>
      </c>
      <c r="H56" s="332">
        <f>'ERR &amp; Sensitivity Analysis'!$D$14</f>
        <v>0.1</v>
      </c>
      <c r="I56" s="273">
        <f t="shared" si="2"/>
        <v>2.1616000559999997</v>
      </c>
      <c r="J56" s="272">
        <f t="shared" si="3"/>
        <v>-3.7679782730690063</v>
      </c>
      <c r="K56" s="272">
        <f t="shared" si="4"/>
        <v>-11.303934593128329</v>
      </c>
      <c r="L56" s="272">
        <f t="shared" si="5"/>
        <v>2.1616000559999997</v>
      </c>
      <c r="M56" s="274">
        <f t="shared" si="6"/>
        <v>5.3743562640593225</v>
      </c>
    </row>
    <row r="57" spans="2:13" ht="12.75">
      <c r="B57" s="271">
        <v>15.96</v>
      </c>
      <c r="C57" s="272">
        <v>0.4385965</v>
      </c>
      <c r="D57" s="272">
        <v>0.4385965</v>
      </c>
      <c r="E57" s="273">
        <f t="shared" si="0"/>
        <v>6.323485723335449</v>
      </c>
      <c r="F57" s="273">
        <f t="shared" si="1"/>
        <v>-1.123322743682094</v>
      </c>
      <c r="G57" s="333">
        <f>'ERR &amp; Sensitivity Analysis'!$D$13</f>
        <v>84</v>
      </c>
      <c r="H57" s="332">
        <f>'ERR &amp; Sensitivity Analysis'!$D$14</f>
        <v>0.1</v>
      </c>
      <c r="I57" s="273">
        <f t="shared" si="2"/>
        <v>5.40400014</v>
      </c>
      <c r="J57" s="272">
        <f t="shared" si="3"/>
        <v>-56.761631561205455</v>
      </c>
      <c r="K57" s="272">
        <f t="shared" si="4"/>
        <v>-68.11395651116742</v>
      </c>
      <c r="L57" s="272">
        <f t="shared" si="5"/>
        <v>5.40400014</v>
      </c>
      <c r="M57" s="274">
        <f t="shared" si="6"/>
        <v>5.948324809961961</v>
      </c>
    </row>
    <row r="58" spans="2:13" ht="12.75">
      <c r="B58" s="271">
        <v>12.768</v>
      </c>
      <c r="C58" s="272">
        <v>0.4425125</v>
      </c>
      <c r="D58" s="272">
        <v>0.4425125</v>
      </c>
      <c r="E58" s="273">
        <f t="shared" si="0"/>
        <v>4.546082376573803</v>
      </c>
      <c r="F58" s="273">
        <f t="shared" si="1"/>
        <v>-1.266641985036479</v>
      </c>
      <c r="G58" s="333">
        <f>'ERR &amp; Sensitivity Analysis'!$D$13</f>
        <v>84</v>
      </c>
      <c r="H58" s="332">
        <f>'ERR &amp; Sensitivity Analysis'!$D$14</f>
        <v>0.1</v>
      </c>
      <c r="I58" s="273">
        <f t="shared" si="2"/>
        <v>4.3731996</v>
      </c>
      <c r="J58" s="272">
        <f t="shared" si="3"/>
        <v>-21.189459714032026</v>
      </c>
      <c r="K58" s="272">
        <f t="shared" si="4"/>
        <v>-31.50291578743988</v>
      </c>
      <c r="L58" s="272">
        <f t="shared" si="5"/>
        <v>4.3731996</v>
      </c>
      <c r="M58" s="274">
        <f t="shared" si="6"/>
        <v>5.940256473407852</v>
      </c>
    </row>
    <row r="59" spans="2:13" ht="12.75">
      <c r="B59" s="271">
        <v>6.608</v>
      </c>
      <c r="C59" s="272">
        <v>0.4539952</v>
      </c>
      <c r="D59" s="272">
        <v>0.4539952</v>
      </c>
      <c r="E59" s="273">
        <f t="shared" si="0"/>
        <v>1.752776796596055</v>
      </c>
      <c r="F59" s="273">
        <f t="shared" si="1"/>
        <v>-1.6805526706973861</v>
      </c>
      <c r="G59" s="333">
        <f>'ERR &amp; Sensitivity Analysis'!$D$13</f>
        <v>84</v>
      </c>
      <c r="H59" s="332">
        <f>'ERR &amp; Sensitivity Analysis'!$D$14</f>
        <v>0.1</v>
      </c>
      <c r="I59" s="273">
        <f t="shared" si="2"/>
        <v>2.3392002815999997</v>
      </c>
      <c r="J59" s="272">
        <f t="shared" si="3"/>
        <v>-4.408182365261743</v>
      </c>
      <c r="K59" s="272">
        <f t="shared" si="4"/>
        <v>-12.342909464145109</v>
      </c>
      <c r="L59" s="272">
        <f t="shared" si="5"/>
        <v>2.3392002815999997</v>
      </c>
      <c r="M59" s="274">
        <f t="shared" si="6"/>
        <v>5.595526817283366</v>
      </c>
    </row>
    <row r="60" spans="2:13" ht="12.75">
      <c r="B60" s="271">
        <v>31.92</v>
      </c>
      <c r="C60" s="272">
        <v>0.4699248</v>
      </c>
      <c r="D60" s="272">
        <v>0.4699248</v>
      </c>
      <c r="E60" s="273">
        <f t="shared" si="0"/>
        <v>19.905984019204425</v>
      </c>
      <c r="F60" s="273">
        <f t="shared" si="1"/>
        <v>-0.6252956349858934</v>
      </c>
      <c r="G60" s="333">
        <f>'ERR &amp; Sensitivity Analysis'!$D$13</f>
        <v>84</v>
      </c>
      <c r="H60" s="332">
        <f>'ERR &amp; Sensitivity Analysis'!$D$14</f>
        <v>0.1</v>
      </c>
      <c r="I60" s="273">
        <f t="shared" si="2"/>
        <v>11.807999615999998</v>
      </c>
      <c r="J60" s="272">
        <f t="shared" si="3"/>
        <v>40.031558253759044</v>
      </c>
      <c r="K60" s="272">
        <f t="shared" si="4"/>
        <v>22.4176731959975</v>
      </c>
      <c r="L60" s="272">
        <f t="shared" si="5"/>
        <v>11.807999615999998</v>
      </c>
      <c r="M60" s="274">
        <f t="shared" si="6"/>
        <v>5.805885441761545</v>
      </c>
    </row>
    <row r="61" spans="2:13" ht="12.75">
      <c r="B61" s="271">
        <v>3.192</v>
      </c>
      <c r="C61" s="272">
        <v>0.4699248</v>
      </c>
      <c r="D61" s="272">
        <v>0.4699248</v>
      </c>
      <c r="E61" s="273">
        <f t="shared" si="0"/>
        <v>0.6470699373812606</v>
      </c>
      <c r="F61" s="273">
        <f t="shared" si="1"/>
        <v>-2.113328062924444</v>
      </c>
      <c r="G61" s="333">
        <f>'ERR &amp; Sensitivity Analysis'!$D$13</f>
        <v>84</v>
      </c>
      <c r="H61" s="332">
        <f>'ERR &amp; Sensitivity Analysis'!$D$14</f>
        <v>0.1</v>
      </c>
      <c r="I61" s="273">
        <f t="shared" si="2"/>
        <v>1.1807999615999998</v>
      </c>
      <c r="J61" s="272">
        <f t="shared" si="3"/>
        <v>-1.3473117327698203</v>
      </c>
      <c r="K61" s="272">
        <f t="shared" si="4"/>
        <v>-7.544945896661608</v>
      </c>
      <c r="L61" s="272">
        <f t="shared" si="5"/>
        <v>1.1807999615999998</v>
      </c>
      <c r="M61" s="274">
        <f t="shared" si="6"/>
        <v>5.016834202291788</v>
      </c>
    </row>
    <row r="62" spans="2:13" ht="12.75">
      <c r="B62" s="271">
        <v>6.384</v>
      </c>
      <c r="C62" s="272">
        <v>0.4699248</v>
      </c>
      <c r="D62" s="272">
        <v>0.4699248</v>
      </c>
      <c r="E62" s="273">
        <f t="shared" si="0"/>
        <v>1.8150710020798455</v>
      </c>
      <c r="F62" s="273">
        <f t="shared" si="1"/>
        <v>-1.6653856675942387</v>
      </c>
      <c r="G62" s="333">
        <f>'ERR &amp; Sensitivity Analysis'!$D$13</f>
        <v>84</v>
      </c>
      <c r="H62" s="332">
        <f>'ERR &amp; Sensitivity Analysis'!$D$14</f>
        <v>0.1</v>
      </c>
      <c r="I62" s="273">
        <f t="shared" si="2"/>
        <v>2.3615999231999996</v>
      </c>
      <c r="J62" s="272">
        <f t="shared" si="3"/>
        <v>-4.508663275009766</v>
      </c>
      <c r="K62" s="272">
        <f t="shared" si="4"/>
        <v>-12.624257493208342</v>
      </c>
      <c r="L62" s="272">
        <f t="shared" si="5"/>
        <v>2.3615999231999996</v>
      </c>
      <c r="M62" s="274">
        <f t="shared" si="6"/>
        <v>5.753994294998575</v>
      </c>
    </row>
    <row r="63" spans="2:13" ht="12.75">
      <c r="B63" s="271">
        <v>6.384</v>
      </c>
      <c r="C63" s="272">
        <v>0.4699248</v>
      </c>
      <c r="D63" s="272">
        <v>0.4699248</v>
      </c>
      <c r="E63" s="273">
        <f t="shared" si="0"/>
        <v>1.8150710020798455</v>
      </c>
      <c r="F63" s="273">
        <f t="shared" si="1"/>
        <v>-1.6653856675942387</v>
      </c>
      <c r="G63" s="333">
        <f>'ERR &amp; Sensitivity Analysis'!$D$13</f>
        <v>84</v>
      </c>
      <c r="H63" s="332">
        <f>'ERR &amp; Sensitivity Analysis'!$D$14</f>
        <v>0.1</v>
      </c>
      <c r="I63" s="273">
        <f t="shared" si="2"/>
        <v>2.3615999231999996</v>
      </c>
      <c r="J63" s="272">
        <f t="shared" si="3"/>
        <v>-4.508663275009766</v>
      </c>
      <c r="K63" s="272">
        <f t="shared" si="4"/>
        <v>-12.624257493208342</v>
      </c>
      <c r="L63" s="272">
        <f t="shared" si="5"/>
        <v>2.3615999231999996</v>
      </c>
      <c r="M63" s="274">
        <f t="shared" si="6"/>
        <v>5.753994294998575</v>
      </c>
    </row>
    <row r="64" spans="2:13" ht="12.75">
      <c r="B64" s="271">
        <v>6.384</v>
      </c>
      <c r="C64" s="272">
        <v>0.4699248</v>
      </c>
      <c r="D64" s="272">
        <v>0.4699248</v>
      </c>
      <c r="E64" s="273">
        <f t="shared" si="0"/>
        <v>1.8150710020798455</v>
      </c>
      <c r="F64" s="273">
        <f t="shared" si="1"/>
        <v>-1.6653856675942387</v>
      </c>
      <c r="G64" s="333">
        <f>'ERR &amp; Sensitivity Analysis'!$D$13</f>
        <v>84</v>
      </c>
      <c r="H64" s="332">
        <f>'ERR &amp; Sensitivity Analysis'!$D$14</f>
        <v>0.1</v>
      </c>
      <c r="I64" s="273">
        <f t="shared" si="2"/>
        <v>2.3615999231999996</v>
      </c>
      <c r="J64" s="272">
        <f t="shared" si="3"/>
        <v>-4.508663275009766</v>
      </c>
      <c r="K64" s="272">
        <f t="shared" si="4"/>
        <v>-12.624257493208342</v>
      </c>
      <c r="L64" s="272">
        <f t="shared" si="5"/>
        <v>2.3615999231999996</v>
      </c>
      <c r="M64" s="274">
        <f t="shared" si="6"/>
        <v>5.753994294998575</v>
      </c>
    </row>
    <row r="65" spans="2:13" ht="12.75">
      <c r="B65" s="271">
        <v>6.384</v>
      </c>
      <c r="C65" s="272">
        <v>0.4699248</v>
      </c>
      <c r="D65" s="272">
        <v>0.4699248</v>
      </c>
      <c r="E65" s="273">
        <f t="shared" si="0"/>
        <v>1.8150710020798455</v>
      </c>
      <c r="F65" s="273">
        <f t="shared" si="1"/>
        <v>-1.6653856675942387</v>
      </c>
      <c r="G65" s="333">
        <f>'ERR &amp; Sensitivity Analysis'!$D$13</f>
        <v>84</v>
      </c>
      <c r="H65" s="332">
        <f>'ERR &amp; Sensitivity Analysis'!$D$14</f>
        <v>0.1</v>
      </c>
      <c r="I65" s="273">
        <f t="shared" si="2"/>
        <v>2.3615999231999996</v>
      </c>
      <c r="J65" s="272">
        <f t="shared" si="3"/>
        <v>-4.508663275009766</v>
      </c>
      <c r="K65" s="272">
        <f t="shared" si="4"/>
        <v>-12.624257493208342</v>
      </c>
      <c r="L65" s="272">
        <f t="shared" si="5"/>
        <v>2.3615999231999996</v>
      </c>
      <c r="M65" s="274">
        <f t="shared" si="6"/>
        <v>5.753994294998575</v>
      </c>
    </row>
    <row r="66" spans="2:13" ht="12.75">
      <c r="B66" s="271">
        <v>6.384</v>
      </c>
      <c r="C66" s="272">
        <v>0.4699248</v>
      </c>
      <c r="D66" s="272">
        <v>0.4699248</v>
      </c>
      <c r="E66" s="273">
        <f t="shared" si="0"/>
        <v>1.8150710020798455</v>
      </c>
      <c r="F66" s="273">
        <f t="shared" si="1"/>
        <v>-1.6653856675942387</v>
      </c>
      <c r="G66" s="333">
        <f>'ERR &amp; Sensitivity Analysis'!$D$13</f>
        <v>84</v>
      </c>
      <c r="H66" s="332">
        <f>'ERR &amp; Sensitivity Analysis'!$D$14</f>
        <v>0.1</v>
      </c>
      <c r="I66" s="273">
        <f t="shared" si="2"/>
        <v>2.3615999231999996</v>
      </c>
      <c r="J66" s="272">
        <f t="shared" si="3"/>
        <v>-4.508663275009766</v>
      </c>
      <c r="K66" s="272">
        <f t="shared" si="4"/>
        <v>-12.624257493208342</v>
      </c>
      <c r="L66" s="272">
        <f t="shared" si="5"/>
        <v>2.3615999231999996</v>
      </c>
      <c r="M66" s="274">
        <f t="shared" si="6"/>
        <v>5.753994294998575</v>
      </c>
    </row>
    <row r="67" spans="2:13" ht="12.75">
      <c r="B67" s="271">
        <v>6.384</v>
      </c>
      <c r="C67" s="272">
        <v>0.4699248</v>
      </c>
      <c r="D67" s="272">
        <v>0.4699248</v>
      </c>
      <c r="E67" s="273">
        <f t="shared" si="0"/>
        <v>1.8150710020798455</v>
      </c>
      <c r="F67" s="273">
        <f t="shared" si="1"/>
        <v>-1.6653856675942387</v>
      </c>
      <c r="G67" s="333">
        <f>'ERR &amp; Sensitivity Analysis'!$D$13</f>
        <v>84</v>
      </c>
      <c r="H67" s="332">
        <f>'ERR &amp; Sensitivity Analysis'!$D$14</f>
        <v>0.1</v>
      </c>
      <c r="I67" s="273">
        <f t="shared" si="2"/>
        <v>2.3615999231999996</v>
      </c>
      <c r="J67" s="272">
        <f t="shared" si="3"/>
        <v>-4.508663275009766</v>
      </c>
      <c r="K67" s="272">
        <f t="shared" si="4"/>
        <v>-12.624257493208342</v>
      </c>
      <c r="L67" s="272">
        <f t="shared" si="5"/>
        <v>2.3615999231999996</v>
      </c>
      <c r="M67" s="274">
        <f t="shared" si="6"/>
        <v>5.753994294998575</v>
      </c>
    </row>
    <row r="68" spans="2:13" ht="12.75">
      <c r="B68" s="271">
        <v>6.384</v>
      </c>
      <c r="C68" s="272">
        <v>0.4699248</v>
      </c>
      <c r="D68" s="272">
        <v>0.4699248</v>
      </c>
      <c r="E68" s="273">
        <f t="shared" si="0"/>
        <v>1.8150710020798455</v>
      </c>
      <c r="F68" s="273">
        <f t="shared" si="1"/>
        <v>-1.6653856675942387</v>
      </c>
      <c r="G68" s="333">
        <f>'ERR &amp; Sensitivity Analysis'!$D$13</f>
        <v>84</v>
      </c>
      <c r="H68" s="332">
        <f>'ERR &amp; Sensitivity Analysis'!$D$14</f>
        <v>0.1</v>
      </c>
      <c r="I68" s="273">
        <f t="shared" si="2"/>
        <v>2.3615999231999996</v>
      </c>
      <c r="J68" s="272">
        <f t="shared" si="3"/>
        <v>-4.508663275009766</v>
      </c>
      <c r="K68" s="272">
        <f t="shared" si="4"/>
        <v>-12.624257493208342</v>
      </c>
      <c r="L68" s="272">
        <f t="shared" si="5"/>
        <v>2.3615999231999996</v>
      </c>
      <c r="M68" s="274">
        <f t="shared" si="6"/>
        <v>5.753994294998575</v>
      </c>
    </row>
    <row r="69" spans="2:13" ht="12.75">
      <c r="B69" s="271">
        <v>6.384</v>
      </c>
      <c r="C69" s="272">
        <v>0.4699248</v>
      </c>
      <c r="D69" s="272">
        <v>0.4699248</v>
      </c>
      <c r="E69" s="273">
        <f t="shared" si="0"/>
        <v>1.8150710020798455</v>
      </c>
      <c r="F69" s="273">
        <f t="shared" si="1"/>
        <v>-1.6653856675942387</v>
      </c>
      <c r="G69" s="333">
        <f>'ERR &amp; Sensitivity Analysis'!$D$13</f>
        <v>84</v>
      </c>
      <c r="H69" s="332">
        <f>'ERR &amp; Sensitivity Analysis'!$D$14</f>
        <v>0.1</v>
      </c>
      <c r="I69" s="273">
        <f t="shared" si="2"/>
        <v>2.3615999231999996</v>
      </c>
      <c r="J69" s="272">
        <f t="shared" si="3"/>
        <v>-4.508663275009766</v>
      </c>
      <c r="K69" s="272">
        <f t="shared" si="4"/>
        <v>-12.624257493208342</v>
      </c>
      <c r="L69" s="272">
        <f t="shared" si="5"/>
        <v>2.3615999231999996</v>
      </c>
      <c r="M69" s="274">
        <f t="shared" si="6"/>
        <v>5.753994294998575</v>
      </c>
    </row>
    <row r="70" spans="2:13" ht="12.75">
      <c r="B70" s="271">
        <v>6.384</v>
      </c>
      <c r="C70" s="272">
        <v>0.4699248</v>
      </c>
      <c r="D70" s="272">
        <v>0.4699248</v>
      </c>
      <c r="E70" s="273">
        <f t="shared" si="0"/>
        <v>1.8150710020798455</v>
      </c>
      <c r="F70" s="273">
        <f t="shared" si="1"/>
        <v>-1.6653856675942387</v>
      </c>
      <c r="G70" s="333">
        <f>'ERR &amp; Sensitivity Analysis'!$D$13</f>
        <v>84</v>
      </c>
      <c r="H70" s="332">
        <f>'ERR &amp; Sensitivity Analysis'!$D$14</f>
        <v>0.1</v>
      </c>
      <c r="I70" s="273">
        <f t="shared" si="2"/>
        <v>2.3615999231999996</v>
      </c>
      <c r="J70" s="272">
        <f t="shared" si="3"/>
        <v>-4.508663275009766</v>
      </c>
      <c r="K70" s="272">
        <f t="shared" si="4"/>
        <v>-12.624257493208342</v>
      </c>
      <c r="L70" s="272">
        <f t="shared" si="5"/>
        <v>2.3615999231999996</v>
      </c>
      <c r="M70" s="274">
        <f t="shared" si="6"/>
        <v>5.753994294998575</v>
      </c>
    </row>
    <row r="71" spans="2:13" ht="12.75">
      <c r="B71" s="271">
        <v>6.384</v>
      </c>
      <c r="C71" s="272">
        <v>0.4699248</v>
      </c>
      <c r="D71" s="272">
        <v>0.4699248</v>
      </c>
      <c r="E71" s="273">
        <f t="shared" si="0"/>
        <v>1.8150710020798455</v>
      </c>
      <c r="F71" s="273">
        <f t="shared" si="1"/>
        <v>-1.6653856675942387</v>
      </c>
      <c r="G71" s="333">
        <f>'ERR &amp; Sensitivity Analysis'!$D$13</f>
        <v>84</v>
      </c>
      <c r="H71" s="332">
        <f>'ERR &amp; Sensitivity Analysis'!$D$14</f>
        <v>0.1</v>
      </c>
      <c r="I71" s="273">
        <f t="shared" si="2"/>
        <v>2.3615999231999996</v>
      </c>
      <c r="J71" s="272">
        <f t="shared" si="3"/>
        <v>-4.508663275009766</v>
      </c>
      <c r="K71" s="272">
        <f t="shared" si="4"/>
        <v>-12.624257493208342</v>
      </c>
      <c r="L71" s="272">
        <f t="shared" si="5"/>
        <v>2.3615999231999996</v>
      </c>
      <c r="M71" s="274">
        <f t="shared" si="6"/>
        <v>5.753994294998575</v>
      </c>
    </row>
    <row r="72" spans="2:13" ht="12.75">
      <c r="B72" s="271">
        <v>12.768</v>
      </c>
      <c r="C72" s="272">
        <v>0.4699248</v>
      </c>
      <c r="D72" s="272">
        <v>0.4699248</v>
      </c>
      <c r="E72" s="273">
        <f t="shared" si="0"/>
        <v>5.091385880055173</v>
      </c>
      <c r="F72" s="273">
        <f t="shared" si="1"/>
        <v>-1.2174432722640334</v>
      </c>
      <c r="G72" s="333">
        <f>'ERR &amp; Sensitivity Analysis'!$D$13</f>
        <v>84</v>
      </c>
      <c r="H72" s="332">
        <f>'ERR &amp; Sensitivity Analysis'!$D$14</f>
        <v>0.1</v>
      </c>
      <c r="I72" s="273">
        <f t="shared" si="2"/>
        <v>4.723199846399999</v>
      </c>
      <c r="J72" s="272">
        <f t="shared" si="3"/>
        <v>-27.593403023821413</v>
      </c>
      <c r="K72" s="272">
        <f t="shared" si="4"/>
        <v>-38.630765222297576</v>
      </c>
      <c r="L72" s="272">
        <f t="shared" si="5"/>
        <v>4.723199846399999</v>
      </c>
      <c r="M72" s="274">
        <f t="shared" si="6"/>
        <v>6.314162352076164</v>
      </c>
    </row>
    <row r="73" spans="2:13" ht="12.75">
      <c r="B73" s="271">
        <v>12.768</v>
      </c>
      <c r="C73" s="272">
        <v>0.4699248</v>
      </c>
      <c r="D73" s="272">
        <v>0.4699248</v>
      </c>
      <c r="E73" s="273">
        <f t="shared" si="0"/>
        <v>5.091385880055173</v>
      </c>
      <c r="F73" s="273">
        <f t="shared" si="1"/>
        <v>-1.2174432722640334</v>
      </c>
      <c r="G73" s="333">
        <f>'ERR &amp; Sensitivity Analysis'!$D$13</f>
        <v>84</v>
      </c>
      <c r="H73" s="332">
        <f>'ERR &amp; Sensitivity Analysis'!$D$14</f>
        <v>0.1</v>
      </c>
      <c r="I73" s="273">
        <f t="shared" si="2"/>
        <v>4.723199846399999</v>
      </c>
      <c r="J73" s="272">
        <f t="shared" si="3"/>
        <v>-27.593403023821413</v>
      </c>
      <c r="K73" s="272">
        <f t="shared" si="4"/>
        <v>-38.630765222297576</v>
      </c>
      <c r="L73" s="272">
        <f t="shared" si="5"/>
        <v>4.723199846399999</v>
      </c>
      <c r="M73" s="274">
        <f t="shared" si="6"/>
        <v>6.314162352076164</v>
      </c>
    </row>
    <row r="74" spans="2:13" ht="12.75">
      <c r="B74" s="271">
        <v>12.768</v>
      </c>
      <c r="C74" s="272">
        <v>0.4699248</v>
      </c>
      <c r="D74" s="272">
        <v>0.4699248</v>
      </c>
      <c r="E74" s="273">
        <f t="shared" si="0"/>
        <v>5.091385880055173</v>
      </c>
      <c r="F74" s="273">
        <f t="shared" si="1"/>
        <v>-1.2174432722640334</v>
      </c>
      <c r="G74" s="333">
        <f>'ERR &amp; Sensitivity Analysis'!$D$13</f>
        <v>84</v>
      </c>
      <c r="H74" s="332">
        <f>'ERR &amp; Sensitivity Analysis'!$D$14</f>
        <v>0.1</v>
      </c>
      <c r="I74" s="273">
        <f t="shared" si="2"/>
        <v>4.723199846399999</v>
      </c>
      <c r="J74" s="272">
        <f t="shared" si="3"/>
        <v>-27.593403023821413</v>
      </c>
      <c r="K74" s="272">
        <f t="shared" si="4"/>
        <v>-38.630765222297576</v>
      </c>
      <c r="L74" s="272">
        <f t="shared" si="5"/>
        <v>4.723199846399999</v>
      </c>
      <c r="M74" s="274">
        <f t="shared" si="6"/>
        <v>6.314162352076164</v>
      </c>
    </row>
    <row r="75" spans="2:13" ht="12.75">
      <c r="B75" s="271">
        <v>12.768</v>
      </c>
      <c r="C75" s="272">
        <v>0.4699248</v>
      </c>
      <c r="D75" s="272">
        <v>0.4699248</v>
      </c>
      <c r="E75" s="273">
        <f t="shared" si="0"/>
        <v>5.091385880055173</v>
      </c>
      <c r="F75" s="273">
        <f t="shared" si="1"/>
        <v>-1.2174432722640334</v>
      </c>
      <c r="G75" s="333">
        <f>'ERR &amp; Sensitivity Analysis'!$D$13</f>
        <v>84</v>
      </c>
      <c r="H75" s="332">
        <f>'ERR &amp; Sensitivity Analysis'!$D$14</f>
        <v>0.1</v>
      </c>
      <c r="I75" s="273">
        <f t="shared" si="2"/>
        <v>4.723199846399999</v>
      </c>
      <c r="J75" s="272">
        <f t="shared" si="3"/>
        <v>-27.593403023821413</v>
      </c>
      <c r="K75" s="272">
        <f t="shared" si="4"/>
        <v>-38.630765222297576</v>
      </c>
      <c r="L75" s="272">
        <f t="shared" si="5"/>
        <v>4.723199846399999</v>
      </c>
      <c r="M75" s="274">
        <f t="shared" si="6"/>
        <v>6.314162352076164</v>
      </c>
    </row>
    <row r="76" spans="2:13" ht="12.75">
      <c r="B76" s="271">
        <v>12.768</v>
      </c>
      <c r="C76" s="272">
        <v>0.4699248</v>
      </c>
      <c r="D76" s="272">
        <v>0.4699248</v>
      </c>
      <c r="E76" s="273">
        <f t="shared" si="0"/>
        <v>5.091385880055173</v>
      </c>
      <c r="F76" s="273">
        <f t="shared" si="1"/>
        <v>-1.2174432722640334</v>
      </c>
      <c r="G76" s="333">
        <f>'ERR &amp; Sensitivity Analysis'!$D$13</f>
        <v>84</v>
      </c>
      <c r="H76" s="332">
        <f>'ERR &amp; Sensitivity Analysis'!$D$14</f>
        <v>0.1</v>
      </c>
      <c r="I76" s="273">
        <f t="shared" si="2"/>
        <v>4.723199846399999</v>
      </c>
      <c r="J76" s="272">
        <f t="shared" si="3"/>
        <v>-27.593403023821413</v>
      </c>
      <c r="K76" s="272">
        <f t="shared" si="4"/>
        <v>-38.630765222297576</v>
      </c>
      <c r="L76" s="272">
        <f t="shared" si="5"/>
        <v>4.723199846399999</v>
      </c>
      <c r="M76" s="274">
        <f t="shared" si="6"/>
        <v>6.314162352076164</v>
      </c>
    </row>
    <row r="77" spans="2:13" ht="12.75">
      <c r="B77" s="271">
        <v>12.768</v>
      </c>
      <c r="C77" s="272">
        <v>0.489505</v>
      </c>
      <c r="D77" s="272">
        <v>0.489505</v>
      </c>
      <c r="E77" s="273">
        <f t="shared" si="0"/>
        <v>5.471770217416989</v>
      </c>
      <c r="F77" s="273">
        <f t="shared" si="1"/>
        <v>-1.1861514348138533</v>
      </c>
      <c r="G77" s="333">
        <f>'ERR &amp; Sensitivity Analysis'!$D$13</f>
        <v>84</v>
      </c>
      <c r="H77" s="332">
        <f>'ERR &amp; Sensitivity Analysis'!$D$14</f>
        <v>0.1</v>
      </c>
      <c r="I77" s="273">
        <f t="shared" si="2"/>
        <v>4.97319984</v>
      </c>
      <c r="J77" s="272">
        <f t="shared" si="3"/>
        <v>-33.57481421644609</v>
      </c>
      <c r="K77" s="272">
        <f t="shared" si="4"/>
        <v>-45.124551462092064</v>
      </c>
      <c r="L77" s="272">
        <f t="shared" si="5"/>
        <v>4.97319984</v>
      </c>
      <c r="M77" s="274">
        <f t="shared" si="6"/>
        <v>6.576537405645971</v>
      </c>
    </row>
    <row r="78" spans="2:13" ht="12.75">
      <c r="B78" s="271">
        <v>9.576</v>
      </c>
      <c r="C78" s="272">
        <v>0.5012531</v>
      </c>
      <c r="D78" s="272">
        <v>0.5012531</v>
      </c>
      <c r="E78" s="273">
        <f t="shared" si="0"/>
        <v>3.7766813006534847</v>
      </c>
      <c r="F78" s="273">
        <f t="shared" si="1"/>
        <v>-1.3471689480988855</v>
      </c>
      <c r="G78" s="333">
        <f>'ERR &amp; Sensitivity Analysis'!$D$13</f>
        <v>84</v>
      </c>
      <c r="H78" s="332">
        <f>'ERR &amp; Sensitivity Analysis'!$D$14</f>
        <v>0.1</v>
      </c>
      <c r="I78" s="273">
        <f t="shared" si="2"/>
        <v>3.8423996856000007</v>
      </c>
      <c r="J78" s="272">
        <f t="shared" si="3"/>
        <v>-13.826120428929597</v>
      </c>
      <c r="K78" s="272">
        <f t="shared" si="4"/>
        <v>-24.19571233544595</v>
      </c>
      <c r="L78" s="272">
        <f t="shared" si="5"/>
        <v>3.8423996856000007</v>
      </c>
      <c r="M78" s="274">
        <f t="shared" si="6"/>
        <v>6.527192220916353</v>
      </c>
    </row>
    <row r="79" spans="2:13" ht="12.75">
      <c r="B79" s="271">
        <v>9.576</v>
      </c>
      <c r="C79" s="272">
        <v>0.5012531</v>
      </c>
      <c r="D79" s="272">
        <v>0.5012531</v>
      </c>
      <c r="E79" s="273">
        <f t="shared" si="0"/>
        <v>3.7766813006534847</v>
      </c>
      <c r="F79" s="273">
        <f t="shared" si="1"/>
        <v>-1.3471689480988855</v>
      </c>
      <c r="G79" s="333">
        <f>'ERR &amp; Sensitivity Analysis'!$D$13</f>
        <v>84</v>
      </c>
      <c r="H79" s="332">
        <f>'ERR &amp; Sensitivity Analysis'!$D$14</f>
        <v>0.1</v>
      </c>
      <c r="I79" s="273">
        <f t="shared" si="2"/>
        <v>3.8423996856000007</v>
      </c>
      <c r="J79" s="272">
        <f t="shared" si="3"/>
        <v>-13.826120428929597</v>
      </c>
      <c r="K79" s="272">
        <f t="shared" si="4"/>
        <v>-24.19571233544595</v>
      </c>
      <c r="L79" s="272">
        <f t="shared" si="5"/>
        <v>3.8423996856000007</v>
      </c>
      <c r="M79" s="274">
        <f t="shared" si="6"/>
        <v>6.527192220916353</v>
      </c>
    </row>
    <row r="80" spans="2:13" ht="12.75">
      <c r="B80" s="271">
        <v>6.384</v>
      </c>
      <c r="C80" s="272">
        <v>0.5090852</v>
      </c>
      <c r="D80" s="272">
        <v>0.5090852</v>
      </c>
      <c r="E80" s="273">
        <f t="shared" si="0"/>
        <v>2.1918072221123577</v>
      </c>
      <c r="F80" s="273">
        <f t="shared" si="1"/>
        <v>-1.5834769324423335</v>
      </c>
      <c r="G80" s="333">
        <f>'ERR &amp; Sensitivity Analysis'!$D$13</f>
        <v>84</v>
      </c>
      <c r="H80" s="332">
        <f>'ERR &amp; Sensitivity Analysis'!$D$14</f>
        <v>0.1</v>
      </c>
      <c r="I80" s="273">
        <f t="shared" si="2"/>
        <v>2.6115999168000004</v>
      </c>
      <c r="J80" s="272">
        <f t="shared" si="3"/>
        <v>-5.570057248357812</v>
      </c>
      <c r="K80" s="272">
        <f t="shared" si="4"/>
        <v>-14.396456025843312</v>
      </c>
      <c r="L80" s="272">
        <f t="shared" si="5"/>
        <v>2.6115999168000004</v>
      </c>
      <c r="M80" s="274">
        <f t="shared" si="6"/>
        <v>6.214798860685501</v>
      </c>
    </row>
    <row r="81" spans="2:13" ht="12.75">
      <c r="B81" s="271">
        <v>8.4</v>
      </c>
      <c r="C81" s="272">
        <v>0.5142857</v>
      </c>
      <c r="D81" s="272">
        <v>0.5142857</v>
      </c>
      <c r="E81" s="273">
        <f t="shared" si="0"/>
        <v>3.29772047364478</v>
      </c>
      <c r="F81" s="273">
        <f t="shared" si="1"/>
        <v>-1.4060654455170205</v>
      </c>
      <c r="G81" s="333">
        <f>'ERR &amp; Sensitivity Analysis'!$D$13</f>
        <v>84</v>
      </c>
      <c r="H81" s="332">
        <f>'ERR &amp; Sensitivity Analysis'!$D$14</f>
        <v>0.1</v>
      </c>
      <c r="I81" s="273">
        <f t="shared" si="2"/>
        <v>3.47999988</v>
      </c>
      <c r="J81" s="272">
        <f t="shared" si="3"/>
        <v>-10.638678882167838</v>
      </c>
      <c r="K81" s="272">
        <f t="shared" si="4"/>
        <v>-20.6863206232797</v>
      </c>
      <c r="L81" s="272">
        <f t="shared" si="5"/>
        <v>3.47999988</v>
      </c>
      <c r="M81" s="274">
        <f t="shared" si="6"/>
        <v>6.567641861111861</v>
      </c>
    </row>
    <row r="82" spans="2:13" ht="12.75">
      <c r="B82" s="271">
        <v>9.576</v>
      </c>
      <c r="C82" s="272">
        <v>0.5221387</v>
      </c>
      <c r="D82" s="272">
        <v>0.5221387</v>
      </c>
      <c r="E82" s="273">
        <f t="shared" si="0"/>
        <v>4.07741084637983</v>
      </c>
      <c r="F82" s="273">
        <f t="shared" si="1"/>
        <v>-1.313894812204523</v>
      </c>
      <c r="G82" s="333">
        <f>'ERR &amp; Sensitivity Analysis'!$D$13</f>
        <v>84</v>
      </c>
      <c r="H82" s="332">
        <f>'ERR &amp; Sensitivity Analysis'!$D$14</f>
        <v>0.1</v>
      </c>
      <c r="I82" s="273">
        <f t="shared" si="2"/>
        <v>4.0424001912</v>
      </c>
      <c r="J82" s="272">
        <f t="shared" si="3"/>
        <v>-15.928903558757037</v>
      </c>
      <c r="K82" s="272">
        <f t="shared" si="4"/>
        <v>-26.76055695538813</v>
      </c>
      <c r="L82" s="272">
        <f t="shared" si="5"/>
        <v>4.0424001912</v>
      </c>
      <c r="M82" s="274">
        <f t="shared" si="6"/>
        <v>6.789253205431092</v>
      </c>
    </row>
    <row r="83" spans="2:13" ht="12.75">
      <c r="B83" s="271">
        <v>9.576</v>
      </c>
      <c r="C83" s="272">
        <v>0.5221387</v>
      </c>
      <c r="D83" s="272">
        <v>0.5221387</v>
      </c>
      <c r="E83" s="273">
        <f t="shared" si="0"/>
        <v>4.07741084637983</v>
      </c>
      <c r="F83" s="273">
        <f t="shared" si="1"/>
        <v>-1.313894812204523</v>
      </c>
      <c r="G83" s="333">
        <f>'ERR &amp; Sensitivity Analysis'!$D$13</f>
        <v>84</v>
      </c>
      <c r="H83" s="332">
        <f>'ERR &amp; Sensitivity Analysis'!$D$14</f>
        <v>0.1</v>
      </c>
      <c r="I83" s="273">
        <f t="shared" si="2"/>
        <v>4.0424001912</v>
      </c>
      <c r="J83" s="272">
        <f t="shared" si="3"/>
        <v>-15.928903558757037</v>
      </c>
      <c r="K83" s="272">
        <f t="shared" si="4"/>
        <v>-26.76055695538813</v>
      </c>
      <c r="L83" s="272">
        <f t="shared" si="5"/>
        <v>4.0424001912</v>
      </c>
      <c r="M83" s="274">
        <f t="shared" si="6"/>
        <v>6.789253205431092</v>
      </c>
    </row>
    <row r="84" spans="2:13" ht="12.75">
      <c r="B84" s="271">
        <v>9.576</v>
      </c>
      <c r="C84" s="272">
        <v>0.5221387</v>
      </c>
      <c r="D84" s="272">
        <v>0.5221387</v>
      </c>
      <c r="E84" s="273">
        <f aca="true" t="shared" si="7" ref="E84:E147">B84/(D84^F84)</f>
        <v>4.07741084637983</v>
      </c>
      <c r="F84" s="273">
        <f aca="true" t="shared" si="8" ref="F84:F147">LN(B84/G84)/LN(D84/H84)</f>
        <v>-1.313894812204523</v>
      </c>
      <c r="G84" s="333">
        <f>'ERR &amp; Sensitivity Analysis'!$D$13</f>
        <v>84</v>
      </c>
      <c r="H84" s="332">
        <f>'ERR &amp; Sensitivity Analysis'!$D$14</f>
        <v>0.1</v>
      </c>
      <c r="I84" s="273">
        <f aca="true" t="shared" si="9" ref="I84:I147">IF((D84-H84)*B84&gt;0,(D84-H84)*B84,0)</f>
        <v>4.0424001912</v>
      </c>
      <c r="J84" s="272">
        <f aca="true" t="shared" si="10" ref="J84:J147">(E84*(D84^(F84+1)))/(F84+1)</f>
        <v>-15.928903558757037</v>
      </c>
      <c r="K84" s="272">
        <f aca="true" t="shared" si="11" ref="K84:K147">(E84*(H84^(F84+1)))/(F84+1)</f>
        <v>-26.76055695538813</v>
      </c>
      <c r="L84" s="272">
        <f aca="true" t="shared" si="12" ref="L84:L147">(D84-H84)*B84</f>
        <v>4.0424001912</v>
      </c>
      <c r="M84" s="274">
        <f aca="true" t="shared" si="13" ref="M84:M147">J84-K84-L84</f>
        <v>6.789253205431092</v>
      </c>
    </row>
    <row r="85" spans="2:13" ht="12.75">
      <c r="B85" s="271">
        <v>9.576</v>
      </c>
      <c r="C85" s="272">
        <v>0.5221387</v>
      </c>
      <c r="D85" s="272">
        <v>0.5221387</v>
      </c>
      <c r="E85" s="273">
        <f t="shared" si="7"/>
        <v>4.07741084637983</v>
      </c>
      <c r="F85" s="273">
        <f t="shared" si="8"/>
        <v>-1.313894812204523</v>
      </c>
      <c r="G85" s="333">
        <f>'ERR &amp; Sensitivity Analysis'!$D$13</f>
        <v>84</v>
      </c>
      <c r="H85" s="332">
        <f>'ERR &amp; Sensitivity Analysis'!$D$14</f>
        <v>0.1</v>
      </c>
      <c r="I85" s="273">
        <f t="shared" si="9"/>
        <v>4.0424001912</v>
      </c>
      <c r="J85" s="272">
        <f t="shared" si="10"/>
        <v>-15.928903558757037</v>
      </c>
      <c r="K85" s="272">
        <f t="shared" si="11"/>
        <v>-26.76055695538813</v>
      </c>
      <c r="L85" s="272">
        <f t="shared" si="12"/>
        <v>4.0424001912</v>
      </c>
      <c r="M85" s="274">
        <f t="shared" si="13"/>
        <v>6.789253205431092</v>
      </c>
    </row>
    <row r="86" spans="2:13" ht="12.75">
      <c r="B86" s="271">
        <v>18.48</v>
      </c>
      <c r="C86" s="272">
        <v>0.5411255</v>
      </c>
      <c r="D86" s="272">
        <v>0.5411255</v>
      </c>
      <c r="E86" s="273">
        <f t="shared" si="7"/>
        <v>10.654663429394377</v>
      </c>
      <c r="F86" s="273">
        <f t="shared" si="8"/>
        <v>-0.896739550741409</v>
      </c>
      <c r="G86" s="333">
        <f>'ERR &amp; Sensitivity Analysis'!$D$13</f>
        <v>84</v>
      </c>
      <c r="H86" s="332">
        <f>'ERR &amp; Sensitivity Analysis'!$D$14</f>
        <v>0.1</v>
      </c>
      <c r="I86" s="273">
        <f t="shared" si="9"/>
        <v>8.151999240000002</v>
      </c>
      <c r="J86" s="272">
        <f t="shared" si="10"/>
        <v>96.84249208481944</v>
      </c>
      <c r="K86" s="272">
        <f t="shared" si="11"/>
        <v>81.3476995336735</v>
      </c>
      <c r="L86" s="272">
        <f t="shared" si="12"/>
        <v>8.151999240000002</v>
      </c>
      <c r="M86" s="274">
        <f t="shared" si="13"/>
        <v>7.3427933111459325</v>
      </c>
    </row>
    <row r="87" spans="2:13" ht="12.75">
      <c r="B87" s="271">
        <v>19.152</v>
      </c>
      <c r="C87" s="272">
        <v>0.5430242</v>
      </c>
      <c r="D87" s="272">
        <v>0.5430242</v>
      </c>
      <c r="E87" s="273">
        <f t="shared" si="7"/>
        <v>11.233272649232548</v>
      </c>
      <c r="F87" s="273">
        <f t="shared" si="8"/>
        <v>-0.8737729860385107</v>
      </c>
      <c r="G87" s="333">
        <f>'ERR &amp; Sensitivity Analysis'!$D$13</f>
        <v>84</v>
      </c>
      <c r="H87" s="332">
        <f>'ERR &amp; Sensitivity Analysis'!$D$14</f>
        <v>0.1</v>
      </c>
      <c r="I87" s="273">
        <f t="shared" si="9"/>
        <v>8.4847994784</v>
      </c>
      <c r="J87" s="272">
        <f t="shared" si="10"/>
        <v>82.39123426917905</v>
      </c>
      <c r="K87" s="272">
        <f t="shared" si="11"/>
        <v>66.54676947806722</v>
      </c>
      <c r="L87" s="272">
        <f t="shared" si="12"/>
        <v>8.4847994784</v>
      </c>
      <c r="M87" s="274">
        <f t="shared" si="13"/>
        <v>7.359665312711833</v>
      </c>
    </row>
    <row r="88" spans="2:13" ht="12.75">
      <c r="B88" s="271">
        <v>3.192</v>
      </c>
      <c r="C88" s="272">
        <v>0.5482456</v>
      </c>
      <c r="D88" s="272">
        <v>0.5482456</v>
      </c>
      <c r="E88" s="273">
        <f t="shared" si="7"/>
        <v>1.0055560390359939</v>
      </c>
      <c r="F88" s="273">
        <f t="shared" si="8"/>
        <v>-1.921873007483238</v>
      </c>
      <c r="G88" s="333">
        <f>'ERR &amp; Sensitivity Analysis'!$D$13</f>
        <v>84</v>
      </c>
      <c r="H88" s="332">
        <f>'ERR &amp; Sensitivity Analysis'!$D$14</f>
        <v>0.1</v>
      </c>
      <c r="I88" s="273">
        <f t="shared" si="9"/>
        <v>1.4307999552000001</v>
      </c>
      <c r="J88" s="272">
        <f t="shared" si="10"/>
        <v>-1.8983091391053877</v>
      </c>
      <c r="K88" s="272">
        <f t="shared" si="11"/>
        <v>-9.111884100970087</v>
      </c>
      <c r="L88" s="272">
        <f t="shared" si="12"/>
        <v>1.4307999552000001</v>
      </c>
      <c r="M88" s="274">
        <f t="shared" si="13"/>
        <v>5.782775006664699</v>
      </c>
    </row>
    <row r="89" spans="2:13" ht="12.75">
      <c r="B89" s="271">
        <v>6.384</v>
      </c>
      <c r="C89" s="272">
        <v>0.5482456</v>
      </c>
      <c r="D89" s="272">
        <v>0.5482456</v>
      </c>
      <c r="E89" s="273">
        <f t="shared" si="7"/>
        <v>2.5690214795907376</v>
      </c>
      <c r="F89" s="273">
        <f t="shared" si="8"/>
        <v>-1.5145115506438294</v>
      </c>
      <c r="G89" s="333">
        <f>'ERR &amp; Sensitivity Analysis'!$D$13</f>
        <v>84</v>
      </c>
      <c r="H89" s="332">
        <f>'ERR &amp; Sensitivity Analysis'!$D$14</f>
        <v>0.1</v>
      </c>
      <c r="I89" s="273">
        <f t="shared" si="9"/>
        <v>2.8615999104000003</v>
      </c>
      <c r="J89" s="272">
        <f t="shared" si="10"/>
        <v>-6.802568195058608</v>
      </c>
      <c r="K89" s="272">
        <f t="shared" si="11"/>
        <v>-16.32616408609046</v>
      </c>
      <c r="L89" s="272">
        <f t="shared" si="12"/>
        <v>2.8615999104000003</v>
      </c>
      <c r="M89" s="274">
        <f t="shared" si="13"/>
        <v>6.661995980631852</v>
      </c>
    </row>
    <row r="90" spans="2:13" ht="12.75">
      <c r="B90" s="271">
        <v>12.768</v>
      </c>
      <c r="C90" s="272">
        <v>0.5482456</v>
      </c>
      <c r="D90" s="272">
        <v>0.5482456</v>
      </c>
      <c r="E90" s="273">
        <f t="shared" si="7"/>
        <v>6.5634048291587455</v>
      </c>
      <c r="F90" s="273">
        <f t="shared" si="8"/>
        <v>-1.1071500938044205</v>
      </c>
      <c r="G90" s="333">
        <f>'ERR &amp; Sensitivity Analysis'!$D$13</f>
        <v>84</v>
      </c>
      <c r="H90" s="332">
        <f>'ERR &amp; Sensitivity Analysis'!$D$14</f>
        <v>0.1</v>
      </c>
      <c r="I90" s="273">
        <f t="shared" si="9"/>
        <v>5.723199820800001</v>
      </c>
      <c r="J90" s="272">
        <f t="shared" si="10"/>
        <v>-65.32891920353329</v>
      </c>
      <c r="K90" s="272">
        <f t="shared" si="11"/>
        <v>-78.39470505114438</v>
      </c>
      <c r="L90" s="272">
        <f t="shared" si="12"/>
        <v>5.723199820800001</v>
      </c>
      <c r="M90" s="274">
        <f t="shared" si="13"/>
        <v>7.342586026811095</v>
      </c>
    </row>
    <row r="91" spans="2:13" ht="12.75">
      <c r="B91" s="271">
        <v>12.768</v>
      </c>
      <c r="C91" s="272">
        <v>0.5482456</v>
      </c>
      <c r="D91" s="272">
        <v>0.5482456</v>
      </c>
      <c r="E91" s="273">
        <f t="shared" si="7"/>
        <v>6.5634048291587455</v>
      </c>
      <c r="F91" s="273">
        <f t="shared" si="8"/>
        <v>-1.1071500938044205</v>
      </c>
      <c r="G91" s="333">
        <f>'ERR &amp; Sensitivity Analysis'!$D$13</f>
        <v>84</v>
      </c>
      <c r="H91" s="332">
        <f>'ERR &amp; Sensitivity Analysis'!$D$14</f>
        <v>0.1</v>
      </c>
      <c r="I91" s="273">
        <f t="shared" si="9"/>
        <v>5.723199820800001</v>
      </c>
      <c r="J91" s="272">
        <f t="shared" si="10"/>
        <v>-65.32891920353329</v>
      </c>
      <c r="K91" s="272">
        <f t="shared" si="11"/>
        <v>-78.39470505114438</v>
      </c>
      <c r="L91" s="272">
        <f t="shared" si="12"/>
        <v>5.723199820800001</v>
      </c>
      <c r="M91" s="274">
        <f t="shared" si="13"/>
        <v>7.342586026811095</v>
      </c>
    </row>
    <row r="92" spans="2:13" ht="12.75">
      <c r="B92" s="271">
        <v>12.768</v>
      </c>
      <c r="C92" s="272">
        <v>0.5482456</v>
      </c>
      <c r="D92" s="272">
        <v>0.5482456</v>
      </c>
      <c r="E92" s="273">
        <f t="shared" si="7"/>
        <v>6.5634048291587455</v>
      </c>
      <c r="F92" s="273">
        <f t="shared" si="8"/>
        <v>-1.1071500938044205</v>
      </c>
      <c r="G92" s="333">
        <f>'ERR &amp; Sensitivity Analysis'!$D$13</f>
        <v>84</v>
      </c>
      <c r="H92" s="332">
        <f>'ERR &amp; Sensitivity Analysis'!$D$14</f>
        <v>0.1</v>
      </c>
      <c r="I92" s="273">
        <f t="shared" si="9"/>
        <v>5.723199820800001</v>
      </c>
      <c r="J92" s="272">
        <f t="shared" si="10"/>
        <v>-65.32891920353329</v>
      </c>
      <c r="K92" s="272">
        <f t="shared" si="11"/>
        <v>-78.39470505114438</v>
      </c>
      <c r="L92" s="272">
        <f t="shared" si="12"/>
        <v>5.723199820800001</v>
      </c>
      <c r="M92" s="274">
        <f t="shared" si="13"/>
        <v>7.342586026811095</v>
      </c>
    </row>
    <row r="93" spans="2:13" ht="12.75">
      <c r="B93" s="271">
        <v>12.768</v>
      </c>
      <c r="C93" s="272">
        <v>0.5482456</v>
      </c>
      <c r="D93" s="272">
        <v>0.5482456</v>
      </c>
      <c r="E93" s="273">
        <f t="shared" si="7"/>
        <v>6.5634048291587455</v>
      </c>
      <c r="F93" s="273">
        <f t="shared" si="8"/>
        <v>-1.1071500938044205</v>
      </c>
      <c r="G93" s="333">
        <f>'ERR &amp; Sensitivity Analysis'!$D$13</f>
        <v>84</v>
      </c>
      <c r="H93" s="332">
        <f>'ERR &amp; Sensitivity Analysis'!$D$14</f>
        <v>0.1</v>
      </c>
      <c r="I93" s="273">
        <f t="shared" si="9"/>
        <v>5.723199820800001</v>
      </c>
      <c r="J93" s="272">
        <f t="shared" si="10"/>
        <v>-65.32891920353329</v>
      </c>
      <c r="K93" s="272">
        <f t="shared" si="11"/>
        <v>-78.39470505114438</v>
      </c>
      <c r="L93" s="272">
        <f t="shared" si="12"/>
        <v>5.723199820800001</v>
      </c>
      <c r="M93" s="274">
        <f t="shared" si="13"/>
        <v>7.342586026811095</v>
      </c>
    </row>
    <row r="94" spans="2:13" ht="12.75">
      <c r="B94" s="271">
        <v>12.768</v>
      </c>
      <c r="C94" s="272">
        <v>0.5482456</v>
      </c>
      <c r="D94" s="272">
        <v>0.5482456</v>
      </c>
      <c r="E94" s="273">
        <f t="shared" si="7"/>
        <v>6.5634048291587455</v>
      </c>
      <c r="F94" s="273">
        <f t="shared" si="8"/>
        <v>-1.1071500938044205</v>
      </c>
      <c r="G94" s="333">
        <f>'ERR &amp; Sensitivity Analysis'!$D$13</f>
        <v>84</v>
      </c>
      <c r="H94" s="332">
        <f>'ERR &amp; Sensitivity Analysis'!$D$14</f>
        <v>0.1</v>
      </c>
      <c r="I94" s="273">
        <f t="shared" si="9"/>
        <v>5.723199820800001</v>
      </c>
      <c r="J94" s="272">
        <f t="shared" si="10"/>
        <v>-65.32891920353329</v>
      </c>
      <c r="K94" s="272">
        <f t="shared" si="11"/>
        <v>-78.39470505114438</v>
      </c>
      <c r="L94" s="272">
        <f t="shared" si="12"/>
        <v>5.723199820800001</v>
      </c>
      <c r="M94" s="274">
        <f t="shared" si="13"/>
        <v>7.342586026811095</v>
      </c>
    </row>
    <row r="95" spans="2:13" ht="12.75">
      <c r="B95" s="271">
        <v>12.768</v>
      </c>
      <c r="C95" s="272">
        <v>0.5678259</v>
      </c>
      <c r="D95" s="272">
        <v>0.5678259</v>
      </c>
      <c r="E95" s="273">
        <f t="shared" si="7"/>
        <v>6.910362203147919</v>
      </c>
      <c r="F95" s="273">
        <f t="shared" si="8"/>
        <v>-1.0847784747649738</v>
      </c>
      <c r="G95" s="333">
        <f>'ERR &amp; Sensitivity Analysis'!$D$13</f>
        <v>84</v>
      </c>
      <c r="H95" s="332">
        <f>'ERR &amp; Sensitivity Analysis'!$D$14</f>
        <v>0.1</v>
      </c>
      <c r="I95" s="273">
        <f t="shared" si="9"/>
        <v>5.973201091200001</v>
      </c>
      <c r="J95" s="272">
        <f t="shared" si="10"/>
        <v>-85.51700312253479</v>
      </c>
      <c r="K95" s="272">
        <f t="shared" si="11"/>
        <v>-99.08175422224578</v>
      </c>
      <c r="L95" s="272">
        <f t="shared" si="12"/>
        <v>5.973201091200001</v>
      </c>
      <c r="M95" s="274">
        <f t="shared" si="13"/>
        <v>7.591550008510988</v>
      </c>
    </row>
    <row r="96" spans="2:13" ht="12.75">
      <c r="B96" s="271">
        <v>6.384</v>
      </c>
      <c r="C96" s="272">
        <v>0.587406</v>
      </c>
      <c r="D96" s="272">
        <v>0.587406</v>
      </c>
      <c r="E96" s="273">
        <f t="shared" si="7"/>
        <v>2.94295560097371</v>
      </c>
      <c r="F96" s="273">
        <f t="shared" si="8"/>
        <v>-1.455495575915234</v>
      </c>
      <c r="G96" s="333">
        <f>'ERR &amp; Sensitivity Analysis'!$D$13</f>
        <v>84</v>
      </c>
      <c r="H96" s="332">
        <f>'ERR &amp; Sensitivity Analysis'!$D$14</f>
        <v>0.1</v>
      </c>
      <c r="I96" s="273">
        <f t="shared" si="9"/>
        <v>3.111599904</v>
      </c>
      <c r="J96" s="272">
        <f t="shared" si="10"/>
        <v>-8.232791057223928</v>
      </c>
      <c r="K96" s="272">
        <f t="shared" si="11"/>
        <v>-18.44145244028278</v>
      </c>
      <c r="L96" s="272">
        <f t="shared" si="12"/>
        <v>3.111599904</v>
      </c>
      <c r="M96" s="274">
        <f t="shared" si="13"/>
        <v>7.097061479058853</v>
      </c>
    </row>
    <row r="97" spans="2:13" ht="12.75">
      <c r="B97" s="271">
        <v>12.768</v>
      </c>
      <c r="C97" s="272">
        <v>0.587406</v>
      </c>
      <c r="D97" s="272">
        <v>0.587406</v>
      </c>
      <c r="E97" s="273">
        <f t="shared" si="7"/>
        <v>7.24889004601106</v>
      </c>
      <c r="F97" s="273">
        <f t="shared" si="8"/>
        <v>-1.064007773807622</v>
      </c>
      <c r="G97" s="333">
        <f>'ERR &amp; Sensitivity Analysis'!$D$13</f>
        <v>84</v>
      </c>
      <c r="H97" s="332">
        <f>'ERR &amp; Sensitivity Analysis'!$D$14</f>
        <v>0.1</v>
      </c>
      <c r="I97" s="273">
        <f t="shared" si="9"/>
        <v>6.223199808</v>
      </c>
      <c r="J97" s="272">
        <f t="shared" si="10"/>
        <v>-117.17326446224435</v>
      </c>
      <c r="K97" s="272">
        <f t="shared" si="11"/>
        <v>-131.23405955730564</v>
      </c>
      <c r="L97" s="272">
        <f t="shared" si="12"/>
        <v>6.223199808</v>
      </c>
      <c r="M97" s="274">
        <f t="shared" si="13"/>
        <v>7.837595287061294</v>
      </c>
    </row>
    <row r="98" spans="2:13" ht="12.75">
      <c r="B98" s="271">
        <v>3.36</v>
      </c>
      <c r="C98" s="272">
        <v>0.5952381</v>
      </c>
      <c r="D98" s="272">
        <v>0.5952381</v>
      </c>
      <c r="E98" s="273">
        <f t="shared" si="7"/>
        <v>1.317545437817035</v>
      </c>
      <c r="F98" s="273">
        <f t="shared" si="8"/>
        <v>-1.8045136845280114</v>
      </c>
      <c r="G98" s="333">
        <f>'ERR &amp; Sensitivity Analysis'!$D$13</f>
        <v>84</v>
      </c>
      <c r="H98" s="332">
        <f>'ERR &amp; Sensitivity Analysis'!$D$14</f>
        <v>0.1</v>
      </c>
      <c r="I98" s="273">
        <f t="shared" si="9"/>
        <v>1.664000016</v>
      </c>
      <c r="J98" s="272">
        <f t="shared" si="10"/>
        <v>-2.485973892629746</v>
      </c>
      <c r="K98" s="272">
        <f t="shared" si="11"/>
        <v>-10.441090265516207</v>
      </c>
      <c r="L98" s="272">
        <f t="shared" si="12"/>
        <v>1.664000016</v>
      </c>
      <c r="M98" s="274">
        <f t="shared" si="13"/>
        <v>6.291116356886461</v>
      </c>
    </row>
    <row r="99" spans="2:13" ht="12.75">
      <c r="B99" s="271">
        <v>6.72</v>
      </c>
      <c r="C99" s="272">
        <v>0.5952381</v>
      </c>
      <c r="D99" s="272">
        <v>0.5952381</v>
      </c>
      <c r="E99" s="273">
        <f t="shared" si="7"/>
        <v>3.223639531285953</v>
      </c>
      <c r="F99" s="273">
        <f t="shared" si="8"/>
        <v>-1.4159328132035813</v>
      </c>
      <c r="G99" s="333">
        <f>'ERR &amp; Sensitivity Analysis'!$D$13</f>
        <v>84</v>
      </c>
      <c r="H99" s="332">
        <f>'ERR &amp; Sensitivity Analysis'!$D$14</f>
        <v>0.1</v>
      </c>
      <c r="I99" s="273">
        <f t="shared" si="9"/>
        <v>3.328000032</v>
      </c>
      <c r="J99" s="272">
        <f t="shared" si="10"/>
        <v>-9.616937892423916</v>
      </c>
      <c r="K99" s="272">
        <f t="shared" si="11"/>
        <v>-20.19556941252567</v>
      </c>
      <c r="L99" s="272">
        <f t="shared" si="12"/>
        <v>3.328000032</v>
      </c>
      <c r="M99" s="274">
        <f t="shared" si="13"/>
        <v>7.250631488101755</v>
      </c>
    </row>
    <row r="100" spans="2:13" ht="12.75">
      <c r="B100" s="271">
        <v>10.08</v>
      </c>
      <c r="C100" s="272">
        <v>0.5952381</v>
      </c>
      <c r="D100" s="272">
        <v>0.5952381</v>
      </c>
      <c r="E100" s="273">
        <f t="shared" si="7"/>
        <v>5.440661558921766</v>
      </c>
      <c r="F100" s="273">
        <f t="shared" si="8"/>
        <v>-1.1886275749812367</v>
      </c>
      <c r="G100" s="333">
        <f>'ERR &amp; Sensitivity Analysis'!$D$13</f>
        <v>84</v>
      </c>
      <c r="H100" s="332">
        <f>'ERR &amp; Sensitivity Analysis'!$D$14</f>
        <v>0.1</v>
      </c>
      <c r="I100" s="273">
        <f t="shared" si="9"/>
        <v>4.992000048</v>
      </c>
      <c r="J100" s="272">
        <f t="shared" si="10"/>
        <v>-31.808711152634157</v>
      </c>
      <c r="K100" s="272">
        <f t="shared" si="11"/>
        <v>-44.53219525743027</v>
      </c>
      <c r="L100" s="272">
        <f t="shared" si="12"/>
        <v>4.992000048</v>
      </c>
      <c r="M100" s="274">
        <f t="shared" si="13"/>
        <v>7.73148405679611</v>
      </c>
    </row>
    <row r="101" spans="2:13" ht="12.75">
      <c r="B101" s="271">
        <v>8.299199</v>
      </c>
      <c r="C101" s="272">
        <v>0.6024678</v>
      </c>
      <c r="D101" s="272">
        <v>0.6024678</v>
      </c>
      <c r="E101" s="273">
        <f t="shared" si="7"/>
        <v>4.319134691497041</v>
      </c>
      <c r="F101" s="273">
        <f t="shared" si="8"/>
        <v>-1.2888825384020137</v>
      </c>
      <c r="G101" s="333">
        <f>'ERR &amp; Sensitivity Analysis'!$D$13</f>
        <v>84</v>
      </c>
      <c r="H101" s="332">
        <f>'ERR &amp; Sensitivity Analysis'!$D$14</f>
        <v>0.1</v>
      </c>
      <c r="I101" s="273">
        <f t="shared" si="9"/>
        <v>4.1700802632922</v>
      </c>
      <c r="J101" s="272">
        <f t="shared" si="10"/>
        <v>-17.30807334687054</v>
      </c>
      <c r="K101" s="272">
        <f t="shared" si="11"/>
        <v>-29.077562273114705</v>
      </c>
      <c r="L101" s="272">
        <f t="shared" si="12"/>
        <v>4.1700802632922</v>
      </c>
      <c r="M101" s="274">
        <f t="shared" si="13"/>
        <v>7.599408662951965</v>
      </c>
    </row>
    <row r="102" spans="2:13" ht="12.75">
      <c r="B102" s="271">
        <v>24.78</v>
      </c>
      <c r="C102" s="272">
        <v>0.6053268</v>
      </c>
      <c r="D102" s="272">
        <v>0.6053268</v>
      </c>
      <c r="E102" s="273">
        <f t="shared" si="7"/>
        <v>17.631674903888864</v>
      </c>
      <c r="F102" s="273">
        <f t="shared" si="8"/>
        <v>-0.6779857164190454</v>
      </c>
      <c r="G102" s="333">
        <f>'ERR &amp; Sensitivity Analysis'!$D$13</f>
        <v>84</v>
      </c>
      <c r="H102" s="332">
        <f>'ERR &amp; Sensitivity Analysis'!$D$14</f>
        <v>0.1</v>
      </c>
      <c r="I102" s="273">
        <f t="shared" si="9"/>
        <v>12.521998104000003</v>
      </c>
      <c r="J102" s="272">
        <f t="shared" si="10"/>
        <v>46.58177872482167</v>
      </c>
      <c r="K102" s="272">
        <f t="shared" si="11"/>
        <v>26.085799383145172</v>
      </c>
      <c r="L102" s="272">
        <f t="shared" si="12"/>
        <v>12.521998104000003</v>
      </c>
      <c r="M102" s="274">
        <f t="shared" si="13"/>
        <v>7.973981237676492</v>
      </c>
    </row>
    <row r="103" spans="2:13" ht="12.75">
      <c r="B103" s="271">
        <v>3.304</v>
      </c>
      <c r="C103" s="272">
        <v>0.6053269</v>
      </c>
      <c r="D103" s="272">
        <v>0.6053269</v>
      </c>
      <c r="E103" s="273">
        <f t="shared" si="7"/>
        <v>1.3405255984581796</v>
      </c>
      <c r="F103" s="273">
        <f t="shared" si="8"/>
        <v>-1.7970041744472094</v>
      </c>
      <c r="G103" s="333">
        <f>'ERR &amp; Sensitivity Analysis'!$D$13</f>
        <v>84</v>
      </c>
      <c r="H103" s="332">
        <f>'ERR &amp; Sensitivity Analysis'!$D$14</f>
        <v>0.1</v>
      </c>
      <c r="I103" s="273">
        <f t="shared" si="9"/>
        <v>1.6696000776</v>
      </c>
      <c r="J103" s="272">
        <f t="shared" si="10"/>
        <v>-2.509397242476391</v>
      </c>
      <c r="K103" s="272">
        <f t="shared" si="11"/>
        <v>-10.539468009469488</v>
      </c>
      <c r="L103" s="272">
        <f t="shared" si="12"/>
        <v>1.6696000776</v>
      </c>
      <c r="M103" s="274">
        <f t="shared" si="13"/>
        <v>6.360470689393097</v>
      </c>
    </row>
    <row r="104" spans="2:13" ht="12.75">
      <c r="B104" s="271">
        <v>3.304</v>
      </c>
      <c r="C104" s="272">
        <v>0.6053269</v>
      </c>
      <c r="D104" s="272">
        <v>0.6053269</v>
      </c>
      <c r="E104" s="273">
        <f t="shared" si="7"/>
        <v>1.3405255984581796</v>
      </c>
      <c r="F104" s="273">
        <f t="shared" si="8"/>
        <v>-1.7970041744472094</v>
      </c>
      <c r="G104" s="333">
        <f>'ERR &amp; Sensitivity Analysis'!$D$13</f>
        <v>84</v>
      </c>
      <c r="H104" s="332">
        <f>'ERR &amp; Sensitivity Analysis'!$D$14</f>
        <v>0.1</v>
      </c>
      <c r="I104" s="273">
        <f t="shared" si="9"/>
        <v>1.6696000776</v>
      </c>
      <c r="J104" s="272">
        <f t="shared" si="10"/>
        <v>-2.509397242476391</v>
      </c>
      <c r="K104" s="272">
        <f t="shared" si="11"/>
        <v>-10.539468009469488</v>
      </c>
      <c r="L104" s="272">
        <f t="shared" si="12"/>
        <v>1.6696000776</v>
      </c>
      <c r="M104" s="274">
        <f t="shared" si="13"/>
        <v>6.360470689393097</v>
      </c>
    </row>
    <row r="105" spans="2:13" ht="12.75">
      <c r="B105" s="271">
        <v>6.608</v>
      </c>
      <c r="C105" s="272">
        <v>0.6053269</v>
      </c>
      <c r="D105" s="272">
        <v>0.6053269</v>
      </c>
      <c r="E105" s="273">
        <f t="shared" si="7"/>
        <v>3.252586766711625</v>
      </c>
      <c r="F105" s="273">
        <f t="shared" si="8"/>
        <v>-1.412050395339724</v>
      </c>
      <c r="G105" s="333">
        <f>'ERR &amp; Sensitivity Analysis'!$D$13</f>
        <v>84</v>
      </c>
      <c r="H105" s="332">
        <f>'ERR &amp; Sensitivity Analysis'!$D$14</f>
        <v>0.1</v>
      </c>
      <c r="I105" s="273">
        <f t="shared" si="9"/>
        <v>3.3392001552</v>
      </c>
      <c r="J105" s="272">
        <f t="shared" si="10"/>
        <v>-9.707550824947301</v>
      </c>
      <c r="K105" s="272">
        <f t="shared" si="11"/>
        <v>-20.38585594141813</v>
      </c>
      <c r="L105" s="272">
        <f t="shared" si="12"/>
        <v>3.3392001552</v>
      </c>
      <c r="M105" s="274">
        <f t="shared" si="13"/>
        <v>7.339104961270827</v>
      </c>
    </row>
    <row r="106" spans="2:13" ht="12.75">
      <c r="B106" s="271">
        <v>29.568</v>
      </c>
      <c r="C106" s="272">
        <v>0.6087662</v>
      </c>
      <c r="D106" s="272">
        <v>0.6087662</v>
      </c>
      <c r="E106" s="273">
        <f t="shared" si="7"/>
        <v>22.193306507636777</v>
      </c>
      <c r="F106" s="273">
        <f t="shared" si="8"/>
        <v>-0.5780572749049792</v>
      </c>
      <c r="G106" s="333">
        <f>'ERR &amp; Sensitivity Analysis'!$D$13</f>
        <v>84</v>
      </c>
      <c r="H106" s="332">
        <f>'ERR &amp; Sensitivity Analysis'!$D$14</f>
        <v>0.1</v>
      </c>
      <c r="I106" s="273">
        <f t="shared" si="9"/>
        <v>15.043199001600003</v>
      </c>
      <c r="J106" s="272">
        <f t="shared" si="10"/>
        <v>42.65981596802369</v>
      </c>
      <c r="K106" s="272">
        <f t="shared" si="11"/>
        <v>19.907915222636756</v>
      </c>
      <c r="L106" s="272">
        <f t="shared" si="12"/>
        <v>15.043199001600003</v>
      </c>
      <c r="M106" s="274">
        <f t="shared" si="13"/>
        <v>7.708701743786934</v>
      </c>
    </row>
    <row r="107" spans="2:13" ht="12.75">
      <c r="B107" s="271">
        <v>15.12</v>
      </c>
      <c r="C107" s="272">
        <v>0.6097884</v>
      </c>
      <c r="D107" s="272">
        <v>0.6097884</v>
      </c>
      <c r="E107" s="273">
        <f t="shared" si="7"/>
        <v>9.457978222689142</v>
      </c>
      <c r="F107" s="273">
        <f t="shared" si="8"/>
        <v>-0.9484809763588777</v>
      </c>
      <c r="G107" s="333">
        <f>'ERR &amp; Sensitivity Analysis'!$D$13</f>
        <v>84</v>
      </c>
      <c r="H107" s="332">
        <f>'ERR &amp; Sensitivity Analysis'!$D$14</f>
        <v>0.1</v>
      </c>
      <c r="I107" s="273">
        <f t="shared" si="9"/>
        <v>7.708000608</v>
      </c>
      <c r="J107" s="272">
        <f t="shared" si="10"/>
        <v>178.96303067049266</v>
      </c>
      <c r="K107" s="272">
        <f t="shared" si="11"/>
        <v>163.0465681670092</v>
      </c>
      <c r="L107" s="272">
        <f t="shared" si="12"/>
        <v>7.708000608</v>
      </c>
      <c r="M107" s="274">
        <f t="shared" si="13"/>
        <v>8.208461895483445</v>
      </c>
    </row>
    <row r="108" spans="2:13" ht="12.75">
      <c r="B108" s="271">
        <v>7.341599</v>
      </c>
      <c r="C108" s="272">
        <v>0.6129454</v>
      </c>
      <c r="D108" s="272">
        <v>0.6129454</v>
      </c>
      <c r="E108" s="273">
        <f t="shared" si="7"/>
        <v>3.802184979373725</v>
      </c>
      <c r="F108" s="273">
        <f t="shared" si="8"/>
        <v>-1.344246044240756</v>
      </c>
      <c r="G108" s="333">
        <f>'ERR &amp; Sensitivity Analysis'!$D$13</f>
        <v>84</v>
      </c>
      <c r="H108" s="332">
        <f>'ERR &amp; Sensitivity Analysis'!$D$14</f>
        <v>0.1</v>
      </c>
      <c r="I108" s="273">
        <f t="shared" si="9"/>
        <v>3.7658394356946</v>
      </c>
      <c r="J108" s="272">
        <f t="shared" si="10"/>
        <v>-13.072043705308136</v>
      </c>
      <c r="K108" s="272">
        <f t="shared" si="11"/>
        <v>-24.401151852090067</v>
      </c>
      <c r="L108" s="272">
        <f t="shared" si="12"/>
        <v>3.7658394356946</v>
      </c>
      <c r="M108" s="274">
        <f t="shared" si="13"/>
        <v>7.56326871108733</v>
      </c>
    </row>
    <row r="109" spans="2:13" ht="12.75">
      <c r="B109" s="271">
        <v>3.192</v>
      </c>
      <c r="C109" s="272">
        <v>0.6265664</v>
      </c>
      <c r="D109" s="272">
        <v>0.6265664</v>
      </c>
      <c r="E109" s="273">
        <f t="shared" si="7"/>
        <v>1.3875636088044476</v>
      </c>
      <c r="F109" s="273">
        <f t="shared" si="8"/>
        <v>-1.782026384847658</v>
      </c>
      <c r="G109" s="333">
        <f>'ERR &amp; Sensitivity Analysis'!$D$13</f>
        <v>84</v>
      </c>
      <c r="H109" s="332">
        <f>'ERR &amp; Sensitivity Analysis'!$D$14</f>
        <v>0.1</v>
      </c>
      <c r="I109" s="273">
        <f t="shared" si="9"/>
        <v>1.6807999488</v>
      </c>
      <c r="J109" s="272">
        <f t="shared" si="10"/>
        <v>-2.557458402365296</v>
      </c>
      <c r="K109" s="272">
        <f t="shared" si="11"/>
        <v>-10.741325564912177</v>
      </c>
      <c r="L109" s="272">
        <f t="shared" si="12"/>
        <v>1.6807999488</v>
      </c>
      <c r="M109" s="274">
        <f t="shared" si="13"/>
        <v>6.503067213746882</v>
      </c>
    </row>
    <row r="110" spans="2:13" ht="12.75">
      <c r="B110" s="271">
        <v>3.192</v>
      </c>
      <c r="C110" s="272">
        <v>0.6265664</v>
      </c>
      <c r="D110" s="272">
        <v>0.6265664</v>
      </c>
      <c r="E110" s="273">
        <f t="shared" si="7"/>
        <v>1.3875636088044476</v>
      </c>
      <c r="F110" s="273">
        <f t="shared" si="8"/>
        <v>-1.782026384847658</v>
      </c>
      <c r="G110" s="333">
        <f>'ERR &amp; Sensitivity Analysis'!$D$13</f>
        <v>84</v>
      </c>
      <c r="H110" s="332">
        <f>'ERR &amp; Sensitivity Analysis'!$D$14</f>
        <v>0.1</v>
      </c>
      <c r="I110" s="273">
        <f t="shared" si="9"/>
        <v>1.6807999488</v>
      </c>
      <c r="J110" s="272">
        <f t="shared" si="10"/>
        <v>-2.557458402365296</v>
      </c>
      <c r="K110" s="272">
        <f t="shared" si="11"/>
        <v>-10.741325564912177</v>
      </c>
      <c r="L110" s="272">
        <f t="shared" si="12"/>
        <v>1.6807999488</v>
      </c>
      <c r="M110" s="274">
        <f t="shared" si="13"/>
        <v>6.503067213746882</v>
      </c>
    </row>
    <row r="111" spans="2:13" ht="12.75">
      <c r="B111" s="271">
        <v>3.192</v>
      </c>
      <c r="C111" s="272">
        <v>0.6265664</v>
      </c>
      <c r="D111" s="272">
        <v>0.6265664</v>
      </c>
      <c r="E111" s="273">
        <f t="shared" si="7"/>
        <v>1.3875636088044476</v>
      </c>
      <c r="F111" s="273">
        <f t="shared" si="8"/>
        <v>-1.782026384847658</v>
      </c>
      <c r="G111" s="333">
        <f>'ERR &amp; Sensitivity Analysis'!$D$13</f>
        <v>84</v>
      </c>
      <c r="H111" s="332">
        <f>'ERR &amp; Sensitivity Analysis'!$D$14</f>
        <v>0.1</v>
      </c>
      <c r="I111" s="273">
        <f t="shared" si="9"/>
        <v>1.6807999488</v>
      </c>
      <c r="J111" s="272">
        <f t="shared" si="10"/>
        <v>-2.557458402365296</v>
      </c>
      <c r="K111" s="272">
        <f t="shared" si="11"/>
        <v>-10.741325564912177</v>
      </c>
      <c r="L111" s="272">
        <f t="shared" si="12"/>
        <v>1.6807999488</v>
      </c>
      <c r="M111" s="274">
        <f t="shared" si="13"/>
        <v>6.503067213746882</v>
      </c>
    </row>
    <row r="112" spans="2:13" ht="12.75">
      <c r="B112" s="271">
        <v>3.192</v>
      </c>
      <c r="C112" s="272">
        <v>0.6265664</v>
      </c>
      <c r="D112" s="272">
        <v>0.6265664</v>
      </c>
      <c r="E112" s="273">
        <f t="shared" si="7"/>
        <v>1.3875636088044476</v>
      </c>
      <c r="F112" s="273">
        <f t="shared" si="8"/>
        <v>-1.782026384847658</v>
      </c>
      <c r="G112" s="333">
        <f>'ERR &amp; Sensitivity Analysis'!$D$13</f>
        <v>84</v>
      </c>
      <c r="H112" s="332">
        <f>'ERR &amp; Sensitivity Analysis'!$D$14</f>
        <v>0.1</v>
      </c>
      <c r="I112" s="273">
        <f t="shared" si="9"/>
        <v>1.6807999488</v>
      </c>
      <c r="J112" s="272">
        <f t="shared" si="10"/>
        <v>-2.557458402365296</v>
      </c>
      <c r="K112" s="272">
        <f t="shared" si="11"/>
        <v>-10.741325564912177</v>
      </c>
      <c r="L112" s="272">
        <f t="shared" si="12"/>
        <v>1.6807999488</v>
      </c>
      <c r="M112" s="274">
        <f t="shared" si="13"/>
        <v>6.503067213746882</v>
      </c>
    </row>
    <row r="113" spans="2:13" ht="12.75">
      <c r="B113" s="271">
        <v>6.384</v>
      </c>
      <c r="C113" s="272">
        <v>0.6265664</v>
      </c>
      <c r="D113" s="272">
        <v>0.6265664</v>
      </c>
      <c r="E113" s="273">
        <f t="shared" si="7"/>
        <v>3.311100605264513</v>
      </c>
      <c r="F113" s="273">
        <f t="shared" si="8"/>
        <v>-1.404306909403005</v>
      </c>
      <c r="G113" s="333">
        <f>'ERR &amp; Sensitivity Analysis'!$D$13</f>
        <v>84</v>
      </c>
      <c r="H113" s="332">
        <f>'ERR &amp; Sensitivity Analysis'!$D$14</f>
        <v>0.1</v>
      </c>
      <c r="I113" s="273">
        <f t="shared" si="9"/>
        <v>3.3615998976</v>
      </c>
      <c r="J113" s="272">
        <f t="shared" si="10"/>
        <v>-9.893474003465228</v>
      </c>
      <c r="K113" s="272">
        <f t="shared" si="11"/>
        <v>-20.776295939150156</v>
      </c>
      <c r="L113" s="272">
        <f t="shared" si="12"/>
        <v>3.3615998976</v>
      </c>
      <c r="M113" s="274">
        <f t="shared" si="13"/>
        <v>7.521222038084929</v>
      </c>
    </row>
    <row r="114" spans="2:13" ht="12.75">
      <c r="B114" s="271">
        <v>6.384</v>
      </c>
      <c r="C114" s="272">
        <v>0.6265664</v>
      </c>
      <c r="D114" s="272">
        <v>0.6265664</v>
      </c>
      <c r="E114" s="273">
        <f t="shared" si="7"/>
        <v>3.311100605264513</v>
      </c>
      <c r="F114" s="273">
        <f t="shared" si="8"/>
        <v>-1.404306909403005</v>
      </c>
      <c r="G114" s="333">
        <f>'ERR &amp; Sensitivity Analysis'!$D$13</f>
        <v>84</v>
      </c>
      <c r="H114" s="332">
        <f>'ERR &amp; Sensitivity Analysis'!$D$14</f>
        <v>0.1</v>
      </c>
      <c r="I114" s="273">
        <f t="shared" si="9"/>
        <v>3.3615998976</v>
      </c>
      <c r="J114" s="272">
        <f t="shared" si="10"/>
        <v>-9.893474003465228</v>
      </c>
      <c r="K114" s="272">
        <f t="shared" si="11"/>
        <v>-20.776295939150156</v>
      </c>
      <c r="L114" s="272">
        <f t="shared" si="12"/>
        <v>3.3615998976</v>
      </c>
      <c r="M114" s="274">
        <f t="shared" si="13"/>
        <v>7.521222038084929</v>
      </c>
    </row>
    <row r="115" spans="2:13" ht="12.75">
      <c r="B115" s="271">
        <v>6.384</v>
      </c>
      <c r="C115" s="272">
        <v>0.6265664</v>
      </c>
      <c r="D115" s="272">
        <v>0.6265664</v>
      </c>
      <c r="E115" s="273">
        <f t="shared" si="7"/>
        <v>3.311100605264513</v>
      </c>
      <c r="F115" s="273">
        <f t="shared" si="8"/>
        <v>-1.404306909403005</v>
      </c>
      <c r="G115" s="333">
        <f>'ERR &amp; Sensitivity Analysis'!$D$13</f>
        <v>84</v>
      </c>
      <c r="H115" s="332">
        <f>'ERR &amp; Sensitivity Analysis'!$D$14</f>
        <v>0.1</v>
      </c>
      <c r="I115" s="273">
        <f t="shared" si="9"/>
        <v>3.3615998976</v>
      </c>
      <c r="J115" s="272">
        <f t="shared" si="10"/>
        <v>-9.893474003465228</v>
      </c>
      <c r="K115" s="272">
        <f t="shared" si="11"/>
        <v>-20.776295939150156</v>
      </c>
      <c r="L115" s="272">
        <f t="shared" si="12"/>
        <v>3.3615998976</v>
      </c>
      <c r="M115" s="274">
        <f t="shared" si="13"/>
        <v>7.521222038084929</v>
      </c>
    </row>
    <row r="116" spans="2:13" ht="12.75">
      <c r="B116" s="271">
        <v>6.384</v>
      </c>
      <c r="C116" s="272">
        <v>0.6265664</v>
      </c>
      <c r="D116" s="272">
        <v>0.6265664</v>
      </c>
      <c r="E116" s="273">
        <f t="shared" si="7"/>
        <v>3.311100605264513</v>
      </c>
      <c r="F116" s="273">
        <f t="shared" si="8"/>
        <v>-1.404306909403005</v>
      </c>
      <c r="G116" s="333">
        <f>'ERR &amp; Sensitivity Analysis'!$D$13</f>
        <v>84</v>
      </c>
      <c r="H116" s="332">
        <f>'ERR &amp; Sensitivity Analysis'!$D$14</f>
        <v>0.1</v>
      </c>
      <c r="I116" s="273">
        <f t="shared" si="9"/>
        <v>3.3615998976</v>
      </c>
      <c r="J116" s="272">
        <f t="shared" si="10"/>
        <v>-9.893474003465228</v>
      </c>
      <c r="K116" s="272">
        <f t="shared" si="11"/>
        <v>-20.776295939150156</v>
      </c>
      <c r="L116" s="272">
        <f t="shared" si="12"/>
        <v>3.3615998976</v>
      </c>
      <c r="M116" s="274">
        <f t="shared" si="13"/>
        <v>7.521222038084929</v>
      </c>
    </row>
    <row r="117" spans="2:13" ht="12.75">
      <c r="B117" s="271">
        <v>9.576</v>
      </c>
      <c r="C117" s="272">
        <v>0.6265664</v>
      </c>
      <c r="D117" s="272">
        <v>0.6265664</v>
      </c>
      <c r="E117" s="273">
        <f t="shared" si="7"/>
        <v>5.507114493273553</v>
      </c>
      <c r="F117" s="273">
        <f t="shared" si="8"/>
        <v>-1.1833551804758171</v>
      </c>
      <c r="G117" s="333">
        <f>'ERR &amp; Sensitivity Analysis'!$D$13</f>
        <v>84</v>
      </c>
      <c r="H117" s="332">
        <f>'ERR &amp; Sensitivity Analysis'!$D$14</f>
        <v>0.1</v>
      </c>
      <c r="I117" s="273">
        <f t="shared" si="9"/>
        <v>5.0423998464</v>
      </c>
      <c r="J117" s="272">
        <f t="shared" si="10"/>
        <v>-32.723372368479914</v>
      </c>
      <c r="K117" s="272">
        <f t="shared" si="11"/>
        <v>-45.81272248867757</v>
      </c>
      <c r="L117" s="272">
        <f t="shared" si="12"/>
        <v>5.0423998464</v>
      </c>
      <c r="M117" s="274">
        <f t="shared" si="13"/>
        <v>8.046950273797657</v>
      </c>
    </row>
    <row r="118" spans="2:13" ht="12.75">
      <c r="B118" s="271">
        <v>9.576</v>
      </c>
      <c r="C118" s="272">
        <v>0.6265664</v>
      </c>
      <c r="D118" s="272">
        <v>0.6265664</v>
      </c>
      <c r="E118" s="273">
        <f t="shared" si="7"/>
        <v>5.507114493273553</v>
      </c>
      <c r="F118" s="273">
        <f t="shared" si="8"/>
        <v>-1.1833551804758171</v>
      </c>
      <c r="G118" s="333">
        <f>'ERR &amp; Sensitivity Analysis'!$D$13</f>
        <v>84</v>
      </c>
      <c r="H118" s="332">
        <f>'ERR &amp; Sensitivity Analysis'!$D$14</f>
        <v>0.1</v>
      </c>
      <c r="I118" s="273">
        <f t="shared" si="9"/>
        <v>5.0423998464</v>
      </c>
      <c r="J118" s="272">
        <f t="shared" si="10"/>
        <v>-32.723372368479914</v>
      </c>
      <c r="K118" s="272">
        <f t="shared" si="11"/>
        <v>-45.81272248867757</v>
      </c>
      <c r="L118" s="272">
        <f t="shared" si="12"/>
        <v>5.0423998464</v>
      </c>
      <c r="M118" s="274">
        <f t="shared" si="13"/>
        <v>8.046950273797657</v>
      </c>
    </row>
    <row r="119" spans="2:13" ht="12.75">
      <c r="B119" s="271">
        <v>9.576</v>
      </c>
      <c r="C119" s="272">
        <v>0.6265664</v>
      </c>
      <c r="D119" s="272">
        <v>0.6265664</v>
      </c>
      <c r="E119" s="273">
        <f t="shared" si="7"/>
        <v>5.507114493273553</v>
      </c>
      <c r="F119" s="273">
        <f t="shared" si="8"/>
        <v>-1.1833551804758171</v>
      </c>
      <c r="G119" s="333">
        <f>'ERR &amp; Sensitivity Analysis'!$D$13</f>
        <v>84</v>
      </c>
      <c r="H119" s="332">
        <f>'ERR &amp; Sensitivity Analysis'!$D$14</f>
        <v>0.1</v>
      </c>
      <c r="I119" s="273">
        <f t="shared" si="9"/>
        <v>5.0423998464</v>
      </c>
      <c r="J119" s="272">
        <f t="shared" si="10"/>
        <v>-32.723372368479914</v>
      </c>
      <c r="K119" s="272">
        <f t="shared" si="11"/>
        <v>-45.81272248867757</v>
      </c>
      <c r="L119" s="272">
        <f t="shared" si="12"/>
        <v>5.0423998464</v>
      </c>
      <c r="M119" s="274">
        <f t="shared" si="13"/>
        <v>8.046950273797657</v>
      </c>
    </row>
    <row r="120" spans="2:13" ht="12.75">
      <c r="B120" s="271">
        <v>12.768</v>
      </c>
      <c r="C120" s="272">
        <v>0.6265664</v>
      </c>
      <c r="D120" s="272">
        <v>0.6265664</v>
      </c>
      <c r="E120" s="273">
        <f t="shared" si="7"/>
        <v>7.901178114370769</v>
      </c>
      <c r="F120" s="273">
        <f t="shared" si="8"/>
        <v>-1.0265874339583514</v>
      </c>
      <c r="G120" s="333">
        <f>'ERR &amp; Sensitivity Analysis'!$D$13</f>
        <v>84</v>
      </c>
      <c r="H120" s="332">
        <f>'ERR &amp; Sensitivity Analysis'!$D$14</f>
        <v>0.1</v>
      </c>
      <c r="I120" s="273">
        <f t="shared" si="9"/>
        <v>6.7231997952</v>
      </c>
      <c r="J120" s="272">
        <f t="shared" si="10"/>
        <v>-300.8940166144585</v>
      </c>
      <c r="K120" s="272">
        <f t="shared" si="11"/>
        <v>-315.93872553321273</v>
      </c>
      <c r="L120" s="272">
        <f t="shared" si="12"/>
        <v>6.7231997952</v>
      </c>
      <c r="M120" s="274">
        <f t="shared" si="13"/>
        <v>8.321509123554225</v>
      </c>
    </row>
    <row r="121" spans="2:13" ht="12.75">
      <c r="B121" s="271">
        <v>12.768</v>
      </c>
      <c r="C121" s="272">
        <v>0.6265664</v>
      </c>
      <c r="D121" s="272">
        <v>0.6265664</v>
      </c>
      <c r="E121" s="273">
        <f t="shared" si="7"/>
        <v>7.901178114370769</v>
      </c>
      <c r="F121" s="273">
        <f t="shared" si="8"/>
        <v>-1.0265874339583514</v>
      </c>
      <c r="G121" s="333">
        <f>'ERR &amp; Sensitivity Analysis'!$D$13</f>
        <v>84</v>
      </c>
      <c r="H121" s="332">
        <f>'ERR &amp; Sensitivity Analysis'!$D$14</f>
        <v>0.1</v>
      </c>
      <c r="I121" s="273">
        <f t="shared" si="9"/>
        <v>6.7231997952</v>
      </c>
      <c r="J121" s="272">
        <f t="shared" si="10"/>
        <v>-300.8940166144585</v>
      </c>
      <c r="K121" s="272">
        <f t="shared" si="11"/>
        <v>-315.93872553321273</v>
      </c>
      <c r="L121" s="272">
        <f t="shared" si="12"/>
        <v>6.7231997952</v>
      </c>
      <c r="M121" s="274">
        <f t="shared" si="13"/>
        <v>8.321509123554225</v>
      </c>
    </row>
    <row r="122" spans="2:13" ht="12.75">
      <c r="B122" s="271">
        <v>12.768</v>
      </c>
      <c r="C122" s="272">
        <v>0.6265664</v>
      </c>
      <c r="D122" s="272">
        <v>0.6265664</v>
      </c>
      <c r="E122" s="273">
        <f t="shared" si="7"/>
        <v>7.901178114370769</v>
      </c>
      <c r="F122" s="273">
        <f t="shared" si="8"/>
        <v>-1.0265874339583514</v>
      </c>
      <c r="G122" s="333">
        <f>'ERR &amp; Sensitivity Analysis'!$D$13</f>
        <v>84</v>
      </c>
      <c r="H122" s="332">
        <f>'ERR &amp; Sensitivity Analysis'!$D$14</f>
        <v>0.1</v>
      </c>
      <c r="I122" s="273">
        <f t="shared" si="9"/>
        <v>6.7231997952</v>
      </c>
      <c r="J122" s="272">
        <f t="shared" si="10"/>
        <v>-300.8940166144585</v>
      </c>
      <c r="K122" s="272">
        <f t="shared" si="11"/>
        <v>-315.93872553321273</v>
      </c>
      <c r="L122" s="272">
        <f t="shared" si="12"/>
        <v>6.7231997952</v>
      </c>
      <c r="M122" s="274">
        <f t="shared" si="13"/>
        <v>8.321509123554225</v>
      </c>
    </row>
    <row r="123" spans="2:13" ht="12.75">
      <c r="B123" s="271">
        <v>12.768</v>
      </c>
      <c r="C123" s="272">
        <v>0.6265664</v>
      </c>
      <c r="D123" s="272">
        <v>0.6265664</v>
      </c>
      <c r="E123" s="273">
        <f t="shared" si="7"/>
        <v>7.901178114370769</v>
      </c>
      <c r="F123" s="273">
        <f t="shared" si="8"/>
        <v>-1.0265874339583514</v>
      </c>
      <c r="G123" s="333">
        <f>'ERR &amp; Sensitivity Analysis'!$D$13</f>
        <v>84</v>
      </c>
      <c r="H123" s="332">
        <f>'ERR &amp; Sensitivity Analysis'!$D$14</f>
        <v>0.1</v>
      </c>
      <c r="I123" s="273">
        <f t="shared" si="9"/>
        <v>6.7231997952</v>
      </c>
      <c r="J123" s="272">
        <f t="shared" si="10"/>
        <v>-300.8940166144585</v>
      </c>
      <c r="K123" s="272">
        <f t="shared" si="11"/>
        <v>-315.93872553321273</v>
      </c>
      <c r="L123" s="272">
        <f t="shared" si="12"/>
        <v>6.7231997952</v>
      </c>
      <c r="M123" s="274">
        <f t="shared" si="13"/>
        <v>8.321509123554225</v>
      </c>
    </row>
    <row r="124" spans="2:13" ht="12.75">
      <c r="B124" s="271">
        <v>12.768</v>
      </c>
      <c r="C124" s="272">
        <v>0.6265664</v>
      </c>
      <c r="D124" s="272">
        <v>0.6265664</v>
      </c>
      <c r="E124" s="273">
        <f t="shared" si="7"/>
        <v>7.901178114370769</v>
      </c>
      <c r="F124" s="273">
        <f t="shared" si="8"/>
        <v>-1.0265874339583514</v>
      </c>
      <c r="G124" s="333">
        <f>'ERR &amp; Sensitivity Analysis'!$D$13</f>
        <v>84</v>
      </c>
      <c r="H124" s="332">
        <f>'ERR &amp; Sensitivity Analysis'!$D$14</f>
        <v>0.1</v>
      </c>
      <c r="I124" s="273">
        <f t="shared" si="9"/>
        <v>6.7231997952</v>
      </c>
      <c r="J124" s="272">
        <f t="shared" si="10"/>
        <v>-300.8940166144585</v>
      </c>
      <c r="K124" s="272">
        <f t="shared" si="11"/>
        <v>-315.93872553321273</v>
      </c>
      <c r="L124" s="272">
        <f t="shared" si="12"/>
        <v>6.7231997952</v>
      </c>
      <c r="M124" s="274">
        <f t="shared" si="13"/>
        <v>8.321509123554225</v>
      </c>
    </row>
    <row r="125" spans="2:13" ht="12.75">
      <c r="B125" s="271">
        <v>19.152</v>
      </c>
      <c r="C125" s="272">
        <v>0.6265664</v>
      </c>
      <c r="D125" s="272">
        <v>0.6265664</v>
      </c>
      <c r="E125" s="273">
        <f t="shared" si="7"/>
        <v>13.141458896900833</v>
      </c>
      <c r="F125" s="273">
        <f t="shared" si="8"/>
        <v>-0.8056357050311637</v>
      </c>
      <c r="G125" s="333">
        <f>'ERR &amp; Sensitivity Analysis'!$D$13</f>
        <v>84</v>
      </c>
      <c r="H125" s="332">
        <f>'ERR &amp; Sensitivity Analysis'!$D$14</f>
        <v>0.1</v>
      </c>
      <c r="I125" s="273">
        <f t="shared" si="9"/>
        <v>10.0847996928</v>
      </c>
      <c r="J125" s="272">
        <f t="shared" si="10"/>
        <v>61.73973308587381</v>
      </c>
      <c r="K125" s="272">
        <f t="shared" si="11"/>
        <v>43.21781426648772</v>
      </c>
      <c r="L125" s="272">
        <f t="shared" si="12"/>
        <v>10.0847996928</v>
      </c>
      <c r="M125" s="274">
        <f t="shared" si="13"/>
        <v>8.437119126586087</v>
      </c>
    </row>
    <row r="126" spans="2:13" ht="12.75">
      <c r="B126" s="271">
        <v>19.152</v>
      </c>
      <c r="C126" s="272">
        <v>0.6265664</v>
      </c>
      <c r="D126" s="272">
        <v>0.6265664</v>
      </c>
      <c r="E126" s="273">
        <f t="shared" si="7"/>
        <v>13.141458896900833</v>
      </c>
      <c r="F126" s="273">
        <f t="shared" si="8"/>
        <v>-0.8056357050311637</v>
      </c>
      <c r="G126" s="333">
        <f>'ERR &amp; Sensitivity Analysis'!$D$13</f>
        <v>84</v>
      </c>
      <c r="H126" s="332">
        <f>'ERR &amp; Sensitivity Analysis'!$D$14</f>
        <v>0.1</v>
      </c>
      <c r="I126" s="273">
        <f t="shared" si="9"/>
        <v>10.0847996928</v>
      </c>
      <c r="J126" s="272">
        <f t="shared" si="10"/>
        <v>61.73973308587381</v>
      </c>
      <c r="K126" s="272">
        <f t="shared" si="11"/>
        <v>43.21781426648772</v>
      </c>
      <c r="L126" s="272">
        <f t="shared" si="12"/>
        <v>10.0847996928</v>
      </c>
      <c r="M126" s="274">
        <f t="shared" si="13"/>
        <v>8.437119126586087</v>
      </c>
    </row>
    <row r="127" spans="2:13" ht="12.75">
      <c r="B127" s="271">
        <v>28.728</v>
      </c>
      <c r="C127" s="272">
        <v>0.6265664</v>
      </c>
      <c r="D127" s="272">
        <v>0.6265664</v>
      </c>
      <c r="E127" s="273">
        <f t="shared" si="7"/>
        <v>21.857239444435336</v>
      </c>
      <c r="F127" s="273">
        <f t="shared" si="8"/>
        <v>-0.5846839761039759</v>
      </c>
      <c r="G127" s="333">
        <f>'ERR &amp; Sensitivity Analysis'!$D$13</f>
        <v>84</v>
      </c>
      <c r="H127" s="332">
        <f>'ERR &amp; Sensitivity Analysis'!$D$14</f>
        <v>0.1</v>
      </c>
      <c r="I127" s="273">
        <f t="shared" si="9"/>
        <v>15.127199539200001</v>
      </c>
      <c r="J127" s="272">
        <f t="shared" si="10"/>
        <v>43.34048893742266</v>
      </c>
      <c r="K127" s="272">
        <f t="shared" si="11"/>
        <v>20.225562021904963</v>
      </c>
      <c r="L127" s="272">
        <f t="shared" si="12"/>
        <v>15.127199539200001</v>
      </c>
      <c r="M127" s="274">
        <f t="shared" si="13"/>
        <v>7.987727376317698</v>
      </c>
    </row>
    <row r="128" spans="2:13" ht="12.75">
      <c r="B128" s="271">
        <v>31.92</v>
      </c>
      <c r="C128" s="272">
        <v>0.6578947</v>
      </c>
      <c r="D128" s="272">
        <v>0.6578947</v>
      </c>
      <c r="E128" s="273">
        <f t="shared" si="7"/>
        <v>25.743375752495073</v>
      </c>
      <c r="F128" s="273">
        <f t="shared" si="8"/>
        <v>-0.5136137903251734</v>
      </c>
      <c r="G128" s="333">
        <f>'ERR &amp; Sensitivity Analysis'!$D$13</f>
        <v>84</v>
      </c>
      <c r="H128" s="332">
        <f>'ERR &amp; Sensitivity Analysis'!$D$14</f>
        <v>0.1</v>
      </c>
      <c r="I128" s="273">
        <f t="shared" si="9"/>
        <v>17.807998824000002</v>
      </c>
      <c r="J128" s="272">
        <f t="shared" si="10"/>
        <v>43.17556379330645</v>
      </c>
      <c r="K128" s="272">
        <f t="shared" si="11"/>
        <v>17.270226484455264</v>
      </c>
      <c r="L128" s="272">
        <f t="shared" si="12"/>
        <v>17.807998824000002</v>
      </c>
      <c r="M128" s="274">
        <f t="shared" si="13"/>
        <v>8.097338484851186</v>
      </c>
    </row>
    <row r="129" spans="2:13" ht="12.75">
      <c r="B129" s="271">
        <v>15.12</v>
      </c>
      <c r="C129" s="272">
        <v>0.6613756</v>
      </c>
      <c r="D129" s="272">
        <v>0.6613756</v>
      </c>
      <c r="E129" s="273">
        <f t="shared" si="7"/>
        <v>10.38893739472684</v>
      </c>
      <c r="F129" s="273">
        <f t="shared" si="8"/>
        <v>-0.9077081569076485</v>
      </c>
      <c r="G129" s="333">
        <f>'ERR &amp; Sensitivity Analysis'!$D$13</f>
        <v>84</v>
      </c>
      <c r="H129" s="332">
        <f>'ERR &amp; Sensitivity Analysis'!$D$14</f>
        <v>0.1</v>
      </c>
      <c r="I129" s="273">
        <f t="shared" si="9"/>
        <v>8.487999072</v>
      </c>
      <c r="J129" s="272">
        <f t="shared" si="10"/>
        <v>108.35192728780521</v>
      </c>
      <c r="K129" s="272">
        <f t="shared" si="11"/>
        <v>91.0156273680066</v>
      </c>
      <c r="L129" s="272">
        <f t="shared" si="12"/>
        <v>8.487999072</v>
      </c>
      <c r="M129" s="274">
        <f t="shared" si="13"/>
        <v>8.848300847798606</v>
      </c>
    </row>
    <row r="130" spans="2:13" ht="12.75">
      <c r="B130" s="271">
        <v>15.12</v>
      </c>
      <c r="C130" s="272">
        <v>0.6613756</v>
      </c>
      <c r="D130" s="272">
        <v>0.6613756</v>
      </c>
      <c r="E130" s="273">
        <f t="shared" si="7"/>
        <v>10.38893739472684</v>
      </c>
      <c r="F130" s="273">
        <f t="shared" si="8"/>
        <v>-0.9077081569076485</v>
      </c>
      <c r="G130" s="333">
        <f>'ERR &amp; Sensitivity Analysis'!$D$13</f>
        <v>84</v>
      </c>
      <c r="H130" s="332">
        <f>'ERR &amp; Sensitivity Analysis'!$D$14</f>
        <v>0.1</v>
      </c>
      <c r="I130" s="273">
        <f t="shared" si="9"/>
        <v>8.487999072</v>
      </c>
      <c r="J130" s="272">
        <f t="shared" si="10"/>
        <v>108.35192728780521</v>
      </c>
      <c r="K130" s="272">
        <f t="shared" si="11"/>
        <v>91.0156273680066</v>
      </c>
      <c r="L130" s="272">
        <f t="shared" si="12"/>
        <v>8.487999072</v>
      </c>
      <c r="M130" s="274">
        <f t="shared" si="13"/>
        <v>8.848300847798606</v>
      </c>
    </row>
    <row r="131" spans="2:13" ht="12.75">
      <c r="B131" s="271">
        <v>8.96</v>
      </c>
      <c r="C131" s="272">
        <v>0.6696429</v>
      </c>
      <c r="D131" s="272">
        <v>0.6696429</v>
      </c>
      <c r="E131" s="273">
        <f t="shared" si="7"/>
        <v>5.589015193187209</v>
      </c>
      <c r="F131" s="273">
        <f t="shared" si="8"/>
        <v>-1.1769439958576067</v>
      </c>
      <c r="G131" s="333">
        <f>'ERR &amp; Sensitivity Analysis'!$D$13</f>
        <v>84</v>
      </c>
      <c r="H131" s="332">
        <f>'ERR &amp; Sensitivity Analysis'!$D$14</f>
        <v>0.1</v>
      </c>
      <c r="I131" s="273">
        <f t="shared" si="9"/>
        <v>5.104000384000001</v>
      </c>
      <c r="J131" s="272">
        <f t="shared" si="10"/>
        <v>-33.909036330503255</v>
      </c>
      <c r="K131" s="272">
        <f t="shared" si="11"/>
        <v>-47.47264782445507</v>
      </c>
      <c r="L131" s="272">
        <f t="shared" si="12"/>
        <v>5.104000384000001</v>
      </c>
      <c r="M131" s="274">
        <f t="shared" si="13"/>
        <v>8.459611109951817</v>
      </c>
    </row>
    <row r="132" spans="2:13" ht="12.75">
      <c r="B132" s="271">
        <v>14.868</v>
      </c>
      <c r="C132" s="272">
        <v>0.6725854</v>
      </c>
      <c r="D132" s="272">
        <v>0.6725854</v>
      </c>
      <c r="E132" s="273">
        <f t="shared" si="7"/>
        <v>10.369487987690432</v>
      </c>
      <c r="F132" s="273">
        <f t="shared" si="8"/>
        <v>-0.9085219732225455</v>
      </c>
      <c r="G132" s="333">
        <f>'ERR &amp; Sensitivity Analysis'!$D$13</f>
        <v>84</v>
      </c>
      <c r="H132" s="332">
        <f>'ERR &amp; Sensitivity Analysis'!$D$14</f>
        <v>0.1</v>
      </c>
      <c r="I132" s="273">
        <f t="shared" si="9"/>
        <v>8.5131997272</v>
      </c>
      <c r="J132" s="272">
        <f t="shared" si="10"/>
        <v>109.3158661098774</v>
      </c>
      <c r="K132" s="272">
        <f t="shared" si="11"/>
        <v>91.82533003729203</v>
      </c>
      <c r="L132" s="272">
        <f t="shared" si="12"/>
        <v>8.5131997272</v>
      </c>
      <c r="M132" s="274">
        <f t="shared" si="13"/>
        <v>8.977336345385371</v>
      </c>
    </row>
    <row r="133" spans="2:13" ht="12.75">
      <c r="B133" s="271">
        <v>10.08</v>
      </c>
      <c r="C133" s="272">
        <v>0.6765873</v>
      </c>
      <c r="D133" s="272">
        <v>0.6765873</v>
      </c>
      <c r="E133" s="273">
        <f t="shared" si="7"/>
        <v>6.5356952699328525</v>
      </c>
      <c r="F133" s="273">
        <f t="shared" si="8"/>
        <v>-1.1089874912633264</v>
      </c>
      <c r="G133" s="333">
        <f>'ERR &amp; Sensitivity Analysis'!$D$13</f>
        <v>84</v>
      </c>
      <c r="H133" s="332">
        <f>'ERR &amp; Sensitivity Analysis'!$D$14</f>
        <v>0.1</v>
      </c>
      <c r="I133" s="273">
        <f t="shared" si="9"/>
        <v>5.811999984000001</v>
      </c>
      <c r="J133" s="272">
        <f t="shared" si="10"/>
        <v>-62.5759883537652</v>
      </c>
      <c r="K133" s="272">
        <f t="shared" si="11"/>
        <v>-77.07306501536608</v>
      </c>
      <c r="L133" s="272">
        <f t="shared" si="12"/>
        <v>5.811999984000001</v>
      </c>
      <c r="M133" s="274">
        <f t="shared" si="13"/>
        <v>8.685076677600886</v>
      </c>
    </row>
    <row r="134" spans="2:13" ht="12.75">
      <c r="B134" s="271">
        <v>6.72</v>
      </c>
      <c r="C134" s="272">
        <v>0.6785715</v>
      </c>
      <c r="D134" s="272">
        <v>0.6785715</v>
      </c>
      <c r="E134" s="273">
        <f t="shared" si="7"/>
        <v>4.02936603819464</v>
      </c>
      <c r="F134" s="273">
        <f t="shared" si="8"/>
        <v>-1.319042564429938</v>
      </c>
      <c r="G134" s="333">
        <f>'ERR &amp; Sensitivity Analysis'!$D$13</f>
        <v>84</v>
      </c>
      <c r="H134" s="332">
        <f>'ERR &amp; Sensitivity Analysis'!$D$14</f>
        <v>0.1</v>
      </c>
      <c r="I134" s="273">
        <f t="shared" si="9"/>
        <v>3.88800048</v>
      </c>
      <c r="J134" s="272">
        <f t="shared" si="10"/>
        <v>-14.292765255782601</v>
      </c>
      <c r="K134" s="272">
        <f t="shared" si="11"/>
        <v>-26.328775331307394</v>
      </c>
      <c r="L134" s="272">
        <f t="shared" si="12"/>
        <v>3.88800048</v>
      </c>
      <c r="M134" s="274">
        <f t="shared" si="13"/>
        <v>8.148009595524792</v>
      </c>
    </row>
    <row r="135" spans="2:13" ht="12.75">
      <c r="B135" s="271">
        <v>6.384</v>
      </c>
      <c r="C135" s="272">
        <v>0.7048872</v>
      </c>
      <c r="D135" s="272">
        <v>0.7048872</v>
      </c>
      <c r="E135" s="273">
        <f t="shared" si="7"/>
        <v>4.024112804867831</v>
      </c>
      <c r="F135" s="273">
        <f t="shared" si="8"/>
        <v>-1.3196091395992575</v>
      </c>
      <c r="G135" s="333">
        <f>'ERR &amp; Sensitivity Analysis'!$D$13</f>
        <v>84</v>
      </c>
      <c r="H135" s="332">
        <f>'ERR &amp; Sensitivity Analysis'!$D$14</f>
        <v>0.1</v>
      </c>
      <c r="I135" s="273">
        <f t="shared" si="9"/>
        <v>3.861599884800001</v>
      </c>
      <c r="J135" s="272">
        <f t="shared" si="10"/>
        <v>-14.079697127692697</v>
      </c>
      <c r="K135" s="272">
        <f t="shared" si="11"/>
        <v>-26.282101977848182</v>
      </c>
      <c r="L135" s="272">
        <f t="shared" si="12"/>
        <v>3.861599884800001</v>
      </c>
      <c r="M135" s="274">
        <f t="shared" si="13"/>
        <v>8.340804965355485</v>
      </c>
    </row>
    <row r="136" spans="2:13" ht="12.75">
      <c r="B136" s="271">
        <v>6.384</v>
      </c>
      <c r="C136" s="272">
        <v>0.7048872</v>
      </c>
      <c r="D136" s="272">
        <v>0.7048872</v>
      </c>
      <c r="E136" s="273">
        <f t="shared" si="7"/>
        <v>4.024112804867831</v>
      </c>
      <c r="F136" s="273">
        <f t="shared" si="8"/>
        <v>-1.3196091395992575</v>
      </c>
      <c r="G136" s="333">
        <f>'ERR &amp; Sensitivity Analysis'!$D$13</f>
        <v>84</v>
      </c>
      <c r="H136" s="332">
        <f>'ERR &amp; Sensitivity Analysis'!$D$14</f>
        <v>0.1</v>
      </c>
      <c r="I136" s="273">
        <f t="shared" si="9"/>
        <v>3.861599884800001</v>
      </c>
      <c r="J136" s="272">
        <f t="shared" si="10"/>
        <v>-14.079697127692697</v>
      </c>
      <c r="K136" s="272">
        <f t="shared" si="11"/>
        <v>-26.282101977848182</v>
      </c>
      <c r="L136" s="272">
        <f t="shared" si="12"/>
        <v>3.861599884800001</v>
      </c>
      <c r="M136" s="274">
        <f t="shared" si="13"/>
        <v>8.340804965355485</v>
      </c>
    </row>
    <row r="137" spans="2:13" ht="12.75">
      <c r="B137" s="271">
        <v>12.768</v>
      </c>
      <c r="C137" s="272">
        <v>0.7048872</v>
      </c>
      <c r="D137" s="272">
        <v>0.7048872</v>
      </c>
      <c r="E137" s="273">
        <f t="shared" si="7"/>
        <v>9.111886030610618</v>
      </c>
      <c r="F137" s="273">
        <f t="shared" si="8"/>
        <v>-0.9646710070130564</v>
      </c>
      <c r="G137" s="333">
        <f>'ERR &amp; Sensitivity Analysis'!$D$13</f>
        <v>84</v>
      </c>
      <c r="H137" s="332">
        <f>'ERR &amp; Sensitivity Analysis'!$D$14</f>
        <v>0.1</v>
      </c>
      <c r="I137" s="273">
        <f t="shared" si="9"/>
        <v>7.723199769600002</v>
      </c>
      <c r="J137" s="272">
        <f t="shared" si="10"/>
        <v>254.74826788655142</v>
      </c>
      <c r="K137" s="272">
        <f t="shared" si="11"/>
        <v>237.76505611423337</v>
      </c>
      <c r="L137" s="272">
        <f t="shared" si="12"/>
        <v>7.723199769600002</v>
      </c>
      <c r="M137" s="274">
        <f t="shared" si="13"/>
        <v>9.260012002718042</v>
      </c>
    </row>
    <row r="138" spans="2:13" ht="12.75">
      <c r="B138" s="271">
        <v>3.696</v>
      </c>
      <c r="C138" s="272">
        <v>0.7142857</v>
      </c>
      <c r="D138" s="272">
        <v>0.7142857</v>
      </c>
      <c r="E138" s="273">
        <f t="shared" si="7"/>
        <v>2.165599668583226</v>
      </c>
      <c r="F138" s="273">
        <f t="shared" si="8"/>
        <v>-1.5887011097625305</v>
      </c>
      <c r="G138" s="333">
        <f>'ERR &amp; Sensitivity Analysis'!$D$13</f>
        <v>84</v>
      </c>
      <c r="H138" s="332">
        <f>'ERR &amp; Sensitivity Analysis'!$D$14</f>
        <v>0.1</v>
      </c>
      <c r="I138" s="273">
        <f t="shared" si="9"/>
        <v>2.2703999472000005</v>
      </c>
      <c r="J138" s="272">
        <f t="shared" si="10"/>
        <v>-4.484448735394637</v>
      </c>
      <c r="K138" s="272">
        <f t="shared" si="11"/>
        <v>-14.268700807084223</v>
      </c>
      <c r="L138" s="272">
        <f t="shared" si="12"/>
        <v>2.2703999472000005</v>
      </c>
      <c r="M138" s="274">
        <f t="shared" si="13"/>
        <v>7.513852124489586</v>
      </c>
    </row>
    <row r="139" spans="2:13" ht="12.75">
      <c r="B139" s="271">
        <v>4.2</v>
      </c>
      <c r="C139" s="272">
        <v>0.7142857</v>
      </c>
      <c r="D139" s="272">
        <v>0.7142857</v>
      </c>
      <c r="E139" s="273">
        <f t="shared" si="7"/>
        <v>2.515338889314259</v>
      </c>
      <c r="F139" s="273">
        <f t="shared" si="8"/>
        <v>-1.5236827806285236</v>
      </c>
      <c r="G139" s="333">
        <f>'ERR &amp; Sensitivity Analysis'!$D$13</f>
        <v>84</v>
      </c>
      <c r="H139" s="332">
        <f>'ERR &amp; Sensitivity Analysis'!$D$14</f>
        <v>0.1</v>
      </c>
      <c r="I139" s="273">
        <f t="shared" si="9"/>
        <v>2.5799999400000004</v>
      </c>
      <c r="J139" s="272">
        <f t="shared" si="10"/>
        <v>-5.728658743370181</v>
      </c>
      <c r="K139" s="272">
        <f t="shared" si="11"/>
        <v>-16.040244802241396</v>
      </c>
      <c r="L139" s="272">
        <f t="shared" si="12"/>
        <v>2.5799999400000004</v>
      </c>
      <c r="M139" s="274">
        <f t="shared" si="13"/>
        <v>7.731586118871215</v>
      </c>
    </row>
    <row r="140" spans="2:13" ht="12.75">
      <c r="B140" s="271">
        <v>5.6</v>
      </c>
      <c r="C140" s="272">
        <v>0.7142857</v>
      </c>
      <c r="D140" s="272">
        <v>0.7142857</v>
      </c>
      <c r="E140" s="273">
        <f t="shared" si="7"/>
        <v>3.5230331553903813</v>
      </c>
      <c r="F140" s="273">
        <f t="shared" si="8"/>
        <v>-1.3773625557005846</v>
      </c>
      <c r="G140" s="333">
        <f>'ERR &amp; Sensitivity Analysis'!$D$13</f>
        <v>84</v>
      </c>
      <c r="H140" s="332">
        <f>'ERR &amp; Sensitivity Analysis'!$D$14</f>
        <v>0.1</v>
      </c>
      <c r="I140" s="273">
        <f t="shared" si="9"/>
        <v>3.43999992</v>
      </c>
      <c r="J140" s="272">
        <f t="shared" si="10"/>
        <v>-10.599885599602969</v>
      </c>
      <c r="K140" s="272">
        <f t="shared" si="11"/>
        <v>-22.259760204361438</v>
      </c>
      <c r="L140" s="272">
        <f t="shared" si="12"/>
        <v>3.43999992</v>
      </c>
      <c r="M140" s="274">
        <f t="shared" si="13"/>
        <v>8.21987468475847</v>
      </c>
    </row>
    <row r="141" spans="2:13" ht="12.75">
      <c r="B141" s="271">
        <v>5.6</v>
      </c>
      <c r="C141" s="272">
        <v>0.7142857</v>
      </c>
      <c r="D141" s="272">
        <v>0.7142857</v>
      </c>
      <c r="E141" s="273">
        <f t="shared" si="7"/>
        <v>3.5230331553903813</v>
      </c>
      <c r="F141" s="273">
        <f t="shared" si="8"/>
        <v>-1.3773625557005846</v>
      </c>
      <c r="G141" s="333">
        <f>'ERR &amp; Sensitivity Analysis'!$D$13</f>
        <v>84</v>
      </c>
      <c r="H141" s="332">
        <f>'ERR &amp; Sensitivity Analysis'!$D$14</f>
        <v>0.1</v>
      </c>
      <c r="I141" s="273">
        <f t="shared" si="9"/>
        <v>3.43999992</v>
      </c>
      <c r="J141" s="272">
        <f t="shared" si="10"/>
        <v>-10.599885599602969</v>
      </c>
      <c r="K141" s="272">
        <f t="shared" si="11"/>
        <v>-22.259760204361438</v>
      </c>
      <c r="L141" s="272">
        <f t="shared" si="12"/>
        <v>3.43999992</v>
      </c>
      <c r="M141" s="274">
        <f t="shared" si="13"/>
        <v>8.21987468475847</v>
      </c>
    </row>
    <row r="142" spans="2:13" ht="12.75">
      <c r="B142" s="271">
        <v>5.6</v>
      </c>
      <c r="C142" s="272">
        <v>0.7142857</v>
      </c>
      <c r="D142" s="272">
        <v>0.7142857</v>
      </c>
      <c r="E142" s="273">
        <f t="shared" si="7"/>
        <v>3.5230331553903813</v>
      </c>
      <c r="F142" s="273">
        <f t="shared" si="8"/>
        <v>-1.3773625557005846</v>
      </c>
      <c r="G142" s="333">
        <f>'ERR &amp; Sensitivity Analysis'!$D$13</f>
        <v>84</v>
      </c>
      <c r="H142" s="332">
        <f>'ERR &amp; Sensitivity Analysis'!$D$14</f>
        <v>0.1</v>
      </c>
      <c r="I142" s="273">
        <f t="shared" si="9"/>
        <v>3.43999992</v>
      </c>
      <c r="J142" s="272">
        <f t="shared" si="10"/>
        <v>-10.599885599602969</v>
      </c>
      <c r="K142" s="272">
        <f t="shared" si="11"/>
        <v>-22.259760204361438</v>
      </c>
      <c r="L142" s="272">
        <f t="shared" si="12"/>
        <v>3.43999992</v>
      </c>
      <c r="M142" s="274">
        <f t="shared" si="13"/>
        <v>8.21987468475847</v>
      </c>
    </row>
    <row r="143" spans="2:13" ht="12.75">
      <c r="B143" s="271">
        <v>8.4</v>
      </c>
      <c r="C143" s="272">
        <v>0.7142857</v>
      </c>
      <c r="D143" s="272">
        <v>0.7142857</v>
      </c>
      <c r="E143" s="273">
        <f t="shared" si="7"/>
        <v>5.664264233304591</v>
      </c>
      <c r="F143" s="273">
        <f t="shared" si="8"/>
        <v>-1.1711357814244023</v>
      </c>
      <c r="G143" s="333">
        <f>'ERR &amp; Sensitivity Analysis'!$D$13</f>
        <v>84</v>
      </c>
      <c r="H143" s="332">
        <f>'ERR &amp; Sensitivity Analysis'!$D$14</f>
        <v>0.1</v>
      </c>
      <c r="I143" s="273">
        <f t="shared" si="9"/>
        <v>5.159999880000001</v>
      </c>
      <c r="J143" s="272">
        <f t="shared" si="10"/>
        <v>-35.05987952993013</v>
      </c>
      <c r="K143" s="272">
        <f t="shared" si="11"/>
        <v>-49.08383232357882</v>
      </c>
      <c r="L143" s="272">
        <f t="shared" si="12"/>
        <v>5.159999880000001</v>
      </c>
      <c r="M143" s="274">
        <f t="shared" si="13"/>
        <v>8.863952913648689</v>
      </c>
    </row>
    <row r="144" spans="2:13" ht="12.75">
      <c r="B144" s="271">
        <v>9.688</v>
      </c>
      <c r="C144" s="272">
        <v>0.7225434</v>
      </c>
      <c r="D144" s="272">
        <v>0.7225434</v>
      </c>
      <c r="E144" s="273">
        <f t="shared" si="7"/>
        <v>6.793386373452261</v>
      </c>
      <c r="F144" s="273">
        <f t="shared" si="8"/>
        <v>-1.0921929702954774</v>
      </c>
      <c r="G144" s="333">
        <f>'ERR &amp; Sensitivity Analysis'!$D$13</f>
        <v>84</v>
      </c>
      <c r="H144" s="332">
        <f>'ERR &amp; Sensitivity Analysis'!$D$14</f>
        <v>0.1</v>
      </c>
      <c r="I144" s="273">
        <f t="shared" si="9"/>
        <v>6.0312004592</v>
      </c>
      <c r="J144" s="272">
        <f t="shared" si="10"/>
        <v>-75.92770291232709</v>
      </c>
      <c r="K144" s="272">
        <f t="shared" si="11"/>
        <v>-91.11323751776415</v>
      </c>
      <c r="L144" s="272">
        <f t="shared" si="12"/>
        <v>6.0312004592</v>
      </c>
      <c r="M144" s="274">
        <f t="shared" si="13"/>
        <v>9.154334146237055</v>
      </c>
    </row>
    <row r="145" spans="2:13" ht="12.75">
      <c r="B145" s="271">
        <v>9.576</v>
      </c>
      <c r="C145" s="272">
        <v>0.7309942</v>
      </c>
      <c r="D145" s="272">
        <v>0.7309942</v>
      </c>
      <c r="E145" s="273">
        <f t="shared" si="7"/>
        <v>6.801821460564136</v>
      </c>
      <c r="F145" s="273">
        <f t="shared" si="8"/>
        <v>-1.0916540580108174</v>
      </c>
      <c r="G145" s="333">
        <f>'ERR &amp; Sensitivity Analysis'!$D$13</f>
        <v>84</v>
      </c>
      <c r="H145" s="332">
        <f>'ERR &amp; Sensitivity Analysis'!$D$14</f>
        <v>0.1</v>
      </c>
      <c r="I145" s="273">
        <f t="shared" si="9"/>
        <v>6.0424004592000005</v>
      </c>
      <c r="J145" s="272">
        <f t="shared" si="10"/>
        <v>-76.37414655850624</v>
      </c>
      <c r="K145" s="272">
        <f t="shared" si="11"/>
        <v>-91.64896985803507</v>
      </c>
      <c r="L145" s="272">
        <f t="shared" si="12"/>
        <v>6.0424004592000005</v>
      </c>
      <c r="M145" s="274">
        <f t="shared" si="13"/>
        <v>9.232422840328834</v>
      </c>
    </row>
    <row r="146" spans="2:13" ht="12.75">
      <c r="B146" s="271">
        <v>3.36</v>
      </c>
      <c r="C146" s="272">
        <v>0.7440476</v>
      </c>
      <c r="D146" s="272">
        <v>0.7440476</v>
      </c>
      <c r="E146" s="273">
        <f t="shared" si="7"/>
        <v>2.091234214122178</v>
      </c>
      <c r="F146" s="273">
        <f t="shared" si="8"/>
        <v>-1.6038766103917323</v>
      </c>
      <c r="G146" s="333">
        <f>'ERR &amp; Sensitivity Analysis'!$D$13</f>
        <v>84</v>
      </c>
      <c r="H146" s="332">
        <f>'ERR &amp; Sensitivity Analysis'!$D$14</f>
        <v>0.1</v>
      </c>
      <c r="I146" s="273">
        <f t="shared" si="9"/>
        <v>2.163999936</v>
      </c>
      <c r="J146" s="272">
        <f t="shared" si="10"/>
        <v>-4.1399184750312825</v>
      </c>
      <c r="K146" s="272">
        <f t="shared" si="11"/>
        <v>-13.91012643220434</v>
      </c>
      <c r="L146" s="272">
        <f t="shared" si="12"/>
        <v>2.163999936</v>
      </c>
      <c r="M146" s="274">
        <f t="shared" si="13"/>
        <v>7.606208021173057</v>
      </c>
    </row>
    <row r="147" spans="2:13" ht="12.75">
      <c r="B147" s="271">
        <v>6.72</v>
      </c>
      <c r="C147" s="272">
        <v>0.7440476</v>
      </c>
      <c r="D147" s="272">
        <v>0.7440476</v>
      </c>
      <c r="E147" s="273">
        <f t="shared" si="7"/>
        <v>4.632108299716462</v>
      </c>
      <c r="F147" s="273">
        <f t="shared" si="8"/>
        <v>-1.2585005813227665</v>
      </c>
      <c r="G147" s="333">
        <f>'ERR &amp; Sensitivity Analysis'!$D$13</f>
        <v>84</v>
      </c>
      <c r="H147" s="332">
        <f>'ERR &amp; Sensitivity Analysis'!$D$14</f>
        <v>0.1</v>
      </c>
      <c r="I147" s="273">
        <f t="shared" si="9"/>
        <v>4.327999872</v>
      </c>
      <c r="J147" s="272">
        <f t="shared" si="10"/>
        <v>-19.34231577513146</v>
      </c>
      <c r="K147" s="272">
        <f t="shared" si="11"/>
        <v>-32.4950913340952</v>
      </c>
      <c r="L147" s="272">
        <f t="shared" si="12"/>
        <v>4.327999872</v>
      </c>
      <c r="M147" s="274">
        <f t="shared" si="13"/>
        <v>8.82477568696374</v>
      </c>
    </row>
    <row r="148" spans="2:13" ht="12.75">
      <c r="B148" s="271">
        <v>6.72</v>
      </c>
      <c r="C148" s="272">
        <v>0.7440476</v>
      </c>
      <c r="D148" s="272">
        <v>0.7440476</v>
      </c>
      <c r="E148" s="273">
        <f aca="true" t="shared" si="14" ref="E148:E211">B148/(D148^F148)</f>
        <v>4.632108299716462</v>
      </c>
      <c r="F148" s="273">
        <f aca="true" t="shared" si="15" ref="F148:F211">LN(B148/G148)/LN(D148/H148)</f>
        <v>-1.2585005813227665</v>
      </c>
      <c r="G148" s="333">
        <f>'ERR &amp; Sensitivity Analysis'!$D$13</f>
        <v>84</v>
      </c>
      <c r="H148" s="332">
        <f>'ERR &amp; Sensitivity Analysis'!$D$14</f>
        <v>0.1</v>
      </c>
      <c r="I148" s="273">
        <f aca="true" t="shared" si="16" ref="I148:I211">IF((D148-H148)*B148&gt;0,(D148-H148)*B148,0)</f>
        <v>4.327999872</v>
      </c>
      <c r="J148" s="272">
        <f aca="true" t="shared" si="17" ref="J148:J211">(E148*(D148^(F148+1)))/(F148+1)</f>
        <v>-19.34231577513146</v>
      </c>
      <c r="K148" s="272">
        <f aca="true" t="shared" si="18" ref="K148:K211">(E148*(H148^(F148+1)))/(F148+1)</f>
        <v>-32.4950913340952</v>
      </c>
      <c r="L148" s="272">
        <f aca="true" t="shared" si="19" ref="L148:L211">(D148-H148)*B148</f>
        <v>4.327999872</v>
      </c>
      <c r="M148" s="274">
        <f aca="true" t="shared" si="20" ref="M148:M211">J148-K148-L148</f>
        <v>8.82477568696374</v>
      </c>
    </row>
    <row r="149" spans="2:13" ht="12.75">
      <c r="B149" s="271">
        <v>3.192</v>
      </c>
      <c r="C149" s="272">
        <v>0.7518798</v>
      </c>
      <c r="D149" s="272">
        <v>0.7518798</v>
      </c>
      <c r="E149" s="273">
        <f t="shared" si="14"/>
        <v>2.010491863141116</v>
      </c>
      <c r="F149" s="273">
        <f t="shared" si="15"/>
        <v>-1.6209769662952047</v>
      </c>
      <c r="G149" s="333">
        <f>'ERR &amp; Sensitivity Analysis'!$D$13</f>
        <v>84</v>
      </c>
      <c r="H149" s="332">
        <f>'ERR &amp; Sensitivity Analysis'!$D$14</f>
        <v>0.1</v>
      </c>
      <c r="I149" s="273">
        <f t="shared" si="16"/>
        <v>2.0808003216</v>
      </c>
      <c r="J149" s="272">
        <f t="shared" si="17"/>
        <v>-3.864878170793649</v>
      </c>
      <c r="K149" s="272">
        <f t="shared" si="18"/>
        <v>-13.527071785150154</v>
      </c>
      <c r="L149" s="272">
        <f t="shared" si="19"/>
        <v>2.0808003216</v>
      </c>
      <c r="M149" s="274">
        <f t="shared" si="20"/>
        <v>7.5813932927565055</v>
      </c>
    </row>
    <row r="150" spans="2:13" ht="12.75">
      <c r="B150" s="271">
        <v>6.384</v>
      </c>
      <c r="C150" s="272">
        <v>0.7518798</v>
      </c>
      <c r="D150" s="272">
        <v>0.7518798</v>
      </c>
      <c r="E150" s="273">
        <f t="shared" si="14"/>
        <v>4.4349186235366025</v>
      </c>
      <c r="F150" s="273">
        <f t="shared" si="15"/>
        <v>-1.2773936307043392</v>
      </c>
      <c r="G150" s="333">
        <f>'ERR &amp; Sensitivity Analysis'!$D$13</f>
        <v>84</v>
      </c>
      <c r="H150" s="332">
        <f>'ERR &amp; Sensitivity Analysis'!$D$14</f>
        <v>0.1</v>
      </c>
      <c r="I150" s="273">
        <f t="shared" si="16"/>
        <v>4.1616006432</v>
      </c>
      <c r="J150" s="272">
        <f t="shared" si="17"/>
        <v>-17.30393243353195</v>
      </c>
      <c r="K150" s="272">
        <f t="shared" si="18"/>
        <v>-30.28187770090932</v>
      </c>
      <c r="L150" s="272">
        <f t="shared" si="19"/>
        <v>4.1616006432</v>
      </c>
      <c r="M150" s="274">
        <f t="shared" si="20"/>
        <v>8.816344624177368</v>
      </c>
    </row>
    <row r="151" spans="2:13" ht="12.75">
      <c r="B151" s="271">
        <v>10.08</v>
      </c>
      <c r="C151" s="272">
        <v>0.7638889</v>
      </c>
      <c r="D151" s="272">
        <v>0.7638889</v>
      </c>
      <c r="E151" s="273">
        <f t="shared" si="14"/>
        <v>7.611760318309556</v>
      </c>
      <c r="F151" s="273">
        <f t="shared" si="15"/>
        <v>-1.0427941814435364</v>
      </c>
      <c r="G151" s="333">
        <f>'ERR &amp; Sensitivity Analysis'!$D$13</f>
        <v>84</v>
      </c>
      <c r="H151" s="332">
        <f>'ERR &amp; Sensitivity Analysis'!$D$14</f>
        <v>0.1</v>
      </c>
      <c r="I151" s="273">
        <f t="shared" si="16"/>
        <v>6.692000112</v>
      </c>
      <c r="J151" s="272">
        <f t="shared" si="17"/>
        <v>-179.93100585787695</v>
      </c>
      <c r="K151" s="272">
        <f t="shared" si="18"/>
        <v>-196.28836717167135</v>
      </c>
      <c r="L151" s="272">
        <f t="shared" si="19"/>
        <v>6.692000112</v>
      </c>
      <c r="M151" s="274">
        <f t="shared" si="20"/>
        <v>9.6653612017944</v>
      </c>
    </row>
    <row r="152" spans="2:13" ht="12.75">
      <c r="B152" s="271">
        <v>7.84</v>
      </c>
      <c r="C152" s="272">
        <v>0.7653061</v>
      </c>
      <c r="D152" s="272">
        <v>0.7653061</v>
      </c>
      <c r="E152" s="273">
        <f t="shared" si="14"/>
        <v>5.740440723575748</v>
      </c>
      <c r="F152" s="273">
        <f t="shared" si="15"/>
        <v>-1.165334049331283</v>
      </c>
      <c r="G152" s="333">
        <f>'ERR &amp; Sensitivity Analysis'!$D$13</f>
        <v>84</v>
      </c>
      <c r="H152" s="332">
        <f>'ERR &amp; Sensitivity Analysis'!$D$14</f>
        <v>0.1</v>
      </c>
      <c r="I152" s="273">
        <f t="shared" si="16"/>
        <v>5.215999824</v>
      </c>
      <c r="J152" s="272">
        <f t="shared" si="17"/>
        <v>-36.29016435675442</v>
      </c>
      <c r="K152" s="272">
        <f t="shared" si="18"/>
        <v>-50.80623158977231</v>
      </c>
      <c r="L152" s="272">
        <f t="shared" si="19"/>
        <v>5.215999824</v>
      </c>
      <c r="M152" s="274">
        <f t="shared" si="20"/>
        <v>9.300067409017892</v>
      </c>
    </row>
    <row r="153" spans="2:13" ht="12.75">
      <c r="B153" s="271">
        <v>9.688</v>
      </c>
      <c r="C153" s="272">
        <v>0.7741536</v>
      </c>
      <c r="D153" s="272">
        <v>0.7741536</v>
      </c>
      <c r="E153" s="273">
        <f t="shared" si="14"/>
        <v>7.394437946262063</v>
      </c>
      <c r="F153" s="273">
        <f t="shared" si="15"/>
        <v>-1.0553741173454174</v>
      </c>
      <c r="G153" s="333">
        <f>'ERR &amp; Sensitivity Analysis'!$D$13</f>
        <v>84</v>
      </c>
      <c r="H153" s="332">
        <f>'ERR &amp; Sensitivity Analysis'!$D$14</f>
        <v>0.1</v>
      </c>
      <c r="I153" s="273">
        <f t="shared" si="16"/>
        <v>6.5312000768</v>
      </c>
      <c r="J153" s="272">
        <f t="shared" si="17"/>
        <v>-135.44234086867436</v>
      </c>
      <c r="K153" s="272">
        <f t="shared" si="18"/>
        <v>-151.6954202195542</v>
      </c>
      <c r="L153" s="272">
        <f t="shared" si="19"/>
        <v>6.5312000768</v>
      </c>
      <c r="M153" s="274">
        <f t="shared" si="20"/>
        <v>9.721879274079829</v>
      </c>
    </row>
    <row r="154" spans="2:13" ht="12.75">
      <c r="B154" s="271">
        <v>3.192</v>
      </c>
      <c r="C154" s="272">
        <v>0.783208</v>
      </c>
      <c r="D154" s="272">
        <v>0.783208</v>
      </c>
      <c r="E154" s="273">
        <f t="shared" si="14"/>
        <v>2.164970289772057</v>
      </c>
      <c r="F154" s="273">
        <f t="shared" si="15"/>
        <v>-1.5888273452231145</v>
      </c>
      <c r="G154" s="333">
        <f>'ERR &amp; Sensitivity Analysis'!$D$13</f>
        <v>84</v>
      </c>
      <c r="H154" s="332">
        <f>'ERR &amp; Sensitivity Analysis'!$D$14</f>
        <v>0.1</v>
      </c>
      <c r="I154" s="273">
        <f t="shared" si="16"/>
        <v>2.180799936</v>
      </c>
      <c r="J154" s="272">
        <f t="shared" si="17"/>
        <v>-4.2457266230608175</v>
      </c>
      <c r="K154" s="272">
        <f t="shared" si="18"/>
        <v>-14.265641818684774</v>
      </c>
      <c r="L154" s="272">
        <f t="shared" si="19"/>
        <v>2.180799936</v>
      </c>
      <c r="M154" s="274">
        <f t="shared" si="20"/>
        <v>7.839115259623956</v>
      </c>
    </row>
    <row r="155" spans="2:13" ht="12.75">
      <c r="B155" s="271">
        <v>6.384</v>
      </c>
      <c r="C155" s="272">
        <v>0.783208</v>
      </c>
      <c r="D155" s="272">
        <v>0.783208</v>
      </c>
      <c r="E155" s="273">
        <f t="shared" si="14"/>
        <v>4.701330921425493</v>
      </c>
      <c r="F155" s="273">
        <f t="shared" si="15"/>
        <v>-1.2520584642948451</v>
      </c>
      <c r="G155" s="333">
        <f>'ERR &amp; Sensitivity Analysis'!$D$13</f>
        <v>84</v>
      </c>
      <c r="H155" s="332">
        <f>'ERR &amp; Sensitivity Analysis'!$D$14</f>
        <v>0.1</v>
      </c>
      <c r="I155" s="273">
        <f t="shared" si="16"/>
        <v>4.361599872</v>
      </c>
      <c r="J155" s="272">
        <f t="shared" si="17"/>
        <v>-19.83666720333286</v>
      </c>
      <c r="K155" s="272">
        <f t="shared" si="18"/>
        <v>-33.32560175473462</v>
      </c>
      <c r="L155" s="272">
        <f t="shared" si="19"/>
        <v>4.361599872</v>
      </c>
      <c r="M155" s="274">
        <f t="shared" si="20"/>
        <v>9.127334679401763</v>
      </c>
    </row>
    <row r="156" spans="2:13" ht="12.75">
      <c r="B156" s="271">
        <v>6.384</v>
      </c>
      <c r="C156" s="272">
        <v>0.783208</v>
      </c>
      <c r="D156" s="272">
        <v>0.783208</v>
      </c>
      <c r="E156" s="273">
        <f t="shared" si="14"/>
        <v>4.701330921425493</v>
      </c>
      <c r="F156" s="273">
        <f t="shared" si="15"/>
        <v>-1.2520584642948451</v>
      </c>
      <c r="G156" s="333">
        <f>'ERR &amp; Sensitivity Analysis'!$D$13</f>
        <v>84</v>
      </c>
      <c r="H156" s="332">
        <f>'ERR &amp; Sensitivity Analysis'!$D$14</f>
        <v>0.1</v>
      </c>
      <c r="I156" s="273">
        <f t="shared" si="16"/>
        <v>4.361599872</v>
      </c>
      <c r="J156" s="272">
        <f t="shared" si="17"/>
        <v>-19.83666720333286</v>
      </c>
      <c r="K156" s="272">
        <f t="shared" si="18"/>
        <v>-33.32560175473462</v>
      </c>
      <c r="L156" s="272">
        <f t="shared" si="19"/>
        <v>4.361599872</v>
      </c>
      <c r="M156" s="274">
        <f t="shared" si="20"/>
        <v>9.127334679401763</v>
      </c>
    </row>
    <row r="157" spans="2:13" ht="12.75">
      <c r="B157" s="271">
        <v>6.384</v>
      </c>
      <c r="C157" s="272">
        <v>0.783208</v>
      </c>
      <c r="D157" s="272">
        <v>0.783208</v>
      </c>
      <c r="E157" s="273">
        <f t="shared" si="14"/>
        <v>4.701330921425493</v>
      </c>
      <c r="F157" s="273">
        <f t="shared" si="15"/>
        <v>-1.2520584642948451</v>
      </c>
      <c r="G157" s="333">
        <f>'ERR &amp; Sensitivity Analysis'!$D$13</f>
        <v>84</v>
      </c>
      <c r="H157" s="332">
        <f>'ERR &amp; Sensitivity Analysis'!$D$14</f>
        <v>0.1</v>
      </c>
      <c r="I157" s="273">
        <f t="shared" si="16"/>
        <v>4.361599872</v>
      </c>
      <c r="J157" s="272">
        <f t="shared" si="17"/>
        <v>-19.83666720333286</v>
      </c>
      <c r="K157" s="272">
        <f t="shared" si="18"/>
        <v>-33.32560175473462</v>
      </c>
      <c r="L157" s="272">
        <f t="shared" si="19"/>
        <v>4.361599872</v>
      </c>
      <c r="M157" s="274">
        <f t="shared" si="20"/>
        <v>9.127334679401763</v>
      </c>
    </row>
    <row r="158" spans="2:13" ht="12.75">
      <c r="B158" s="271">
        <v>6.384</v>
      </c>
      <c r="C158" s="272">
        <v>0.783208</v>
      </c>
      <c r="D158" s="272">
        <v>0.783208</v>
      </c>
      <c r="E158" s="273">
        <f t="shared" si="14"/>
        <v>4.701330921425493</v>
      </c>
      <c r="F158" s="273">
        <f t="shared" si="15"/>
        <v>-1.2520584642948451</v>
      </c>
      <c r="G158" s="333">
        <f>'ERR &amp; Sensitivity Analysis'!$D$13</f>
        <v>84</v>
      </c>
      <c r="H158" s="332">
        <f>'ERR &amp; Sensitivity Analysis'!$D$14</f>
        <v>0.1</v>
      </c>
      <c r="I158" s="273">
        <f t="shared" si="16"/>
        <v>4.361599872</v>
      </c>
      <c r="J158" s="272">
        <f t="shared" si="17"/>
        <v>-19.83666720333286</v>
      </c>
      <c r="K158" s="272">
        <f t="shared" si="18"/>
        <v>-33.32560175473462</v>
      </c>
      <c r="L158" s="272">
        <f t="shared" si="19"/>
        <v>4.361599872</v>
      </c>
      <c r="M158" s="274">
        <f t="shared" si="20"/>
        <v>9.127334679401763</v>
      </c>
    </row>
    <row r="159" spans="2:13" ht="12.75">
      <c r="B159" s="271">
        <v>6.384</v>
      </c>
      <c r="C159" s="272">
        <v>0.783208</v>
      </c>
      <c r="D159" s="272">
        <v>0.783208</v>
      </c>
      <c r="E159" s="273">
        <f t="shared" si="14"/>
        <v>4.701330921425493</v>
      </c>
      <c r="F159" s="273">
        <f t="shared" si="15"/>
        <v>-1.2520584642948451</v>
      </c>
      <c r="G159" s="333">
        <f>'ERR &amp; Sensitivity Analysis'!$D$13</f>
        <v>84</v>
      </c>
      <c r="H159" s="332">
        <f>'ERR &amp; Sensitivity Analysis'!$D$14</f>
        <v>0.1</v>
      </c>
      <c r="I159" s="273">
        <f t="shared" si="16"/>
        <v>4.361599872</v>
      </c>
      <c r="J159" s="272">
        <f t="shared" si="17"/>
        <v>-19.83666720333286</v>
      </c>
      <c r="K159" s="272">
        <f t="shared" si="18"/>
        <v>-33.32560175473462</v>
      </c>
      <c r="L159" s="272">
        <f t="shared" si="19"/>
        <v>4.361599872</v>
      </c>
      <c r="M159" s="274">
        <f t="shared" si="20"/>
        <v>9.127334679401763</v>
      </c>
    </row>
    <row r="160" spans="2:13" ht="12.75">
      <c r="B160" s="271">
        <v>6.384</v>
      </c>
      <c r="C160" s="272">
        <v>0.783208</v>
      </c>
      <c r="D160" s="272">
        <v>0.783208</v>
      </c>
      <c r="E160" s="273">
        <f t="shared" si="14"/>
        <v>4.701330921425493</v>
      </c>
      <c r="F160" s="273">
        <f t="shared" si="15"/>
        <v>-1.2520584642948451</v>
      </c>
      <c r="G160" s="333">
        <f>'ERR &amp; Sensitivity Analysis'!$D$13</f>
        <v>84</v>
      </c>
      <c r="H160" s="332">
        <f>'ERR &amp; Sensitivity Analysis'!$D$14</f>
        <v>0.1</v>
      </c>
      <c r="I160" s="273">
        <f t="shared" si="16"/>
        <v>4.361599872</v>
      </c>
      <c r="J160" s="272">
        <f t="shared" si="17"/>
        <v>-19.83666720333286</v>
      </c>
      <c r="K160" s="272">
        <f t="shared" si="18"/>
        <v>-33.32560175473462</v>
      </c>
      <c r="L160" s="272">
        <f t="shared" si="19"/>
        <v>4.361599872</v>
      </c>
      <c r="M160" s="274">
        <f t="shared" si="20"/>
        <v>9.127334679401763</v>
      </c>
    </row>
    <row r="161" spans="2:13" ht="12.75">
      <c r="B161" s="271">
        <v>6.384</v>
      </c>
      <c r="C161" s="272">
        <v>0.783208</v>
      </c>
      <c r="D161" s="272">
        <v>0.783208</v>
      </c>
      <c r="E161" s="273">
        <f t="shared" si="14"/>
        <v>4.701330921425493</v>
      </c>
      <c r="F161" s="273">
        <f t="shared" si="15"/>
        <v>-1.2520584642948451</v>
      </c>
      <c r="G161" s="333">
        <f>'ERR &amp; Sensitivity Analysis'!$D$13</f>
        <v>84</v>
      </c>
      <c r="H161" s="332">
        <f>'ERR &amp; Sensitivity Analysis'!$D$14</f>
        <v>0.1</v>
      </c>
      <c r="I161" s="273">
        <f t="shared" si="16"/>
        <v>4.361599872</v>
      </c>
      <c r="J161" s="272">
        <f t="shared" si="17"/>
        <v>-19.83666720333286</v>
      </c>
      <c r="K161" s="272">
        <f t="shared" si="18"/>
        <v>-33.32560175473462</v>
      </c>
      <c r="L161" s="272">
        <f t="shared" si="19"/>
        <v>4.361599872</v>
      </c>
      <c r="M161" s="274">
        <f t="shared" si="20"/>
        <v>9.127334679401763</v>
      </c>
    </row>
    <row r="162" spans="2:13" ht="12.75">
      <c r="B162" s="271">
        <v>6.384</v>
      </c>
      <c r="C162" s="272">
        <v>0.783208</v>
      </c>
      <c r="D162" s="272">
        <v>0.783208</v>
      </c>
      <c r="E162" s="273">
        <f t="shared" si="14"/>
        <v>4.701330921425493</v>
      </c>
      <c r="F162" s="273">
        <f t="shared" si="15"/>
        <v>-1.2520584642948451</v>
      </c>
      <c r="G162" s="333">
        <f>'ERR &amp; Sensitivity Analysis'!$D$13</f>
        <v>84</v>
      </c>
      <c r="H162" s="332">
        <f>'ERR &amp; Sensitivity Analysis'!$D$14</f>
        <v>0.1</v>
      </c>
      <c r="I162" s="273">
        <f t="shared" si="16"/>
        <v>4.361599872</v>
      </c>
      <c r="J162" s="272">
        <f t="shared" si="17"/>
        <v>-19.83666720333286</v>
      </c>
      <c r="K162" s="272">
        <f t="shared" si="18"/>
        <v>-33.32560175473462</v>
      </c>
      <c r="L162" s="272">
        <f t="shared" si="19"/>
        <v>4.361599872</v>
      </c>
      <c r="M162" s="274">
        <f t="shared" si="20"/>
        <v>9.127334679401763</v>
      </c>
    </row>
    <row r="163" spans="2:13" ht="12.75">
      <c r="B163" s="271">
        <v>9.576</v>
      </c>
      <c r="C163" s="272">
        <v>0.783208</v>
      </c>
      <c r="D163" s="272">
        <v>0.783208</v>
      </c>
      <c r="E163" s="273">
        <f t="shared" si="14"/>
        <v>7.399766035812418</v>
      </c>
      <c r="F163" s="273">
        <f t="shared" si="15"/>
        <v>-1.055061297541979</v>
      </c>
      <c r="G163" s="333">
        <f>'ERR &amp; Sensitivity Analysis'!$D$13</f>
        <v>84</v>
      </c>
      <c r="H163" s="332">
        <f>'ERR &amp; Sensitivity Analysis'!$D$14</f>
        <v>0.1</v>
      </c>
      <c r="I163" s="273">
        <f t="shared" si="16"/>
        <v>6.542399808000001</v>
      </c>
      <c r="J163" s="272">
        <f t="shared" si="17"/>
        <v>-136.2118246901456</v>
      </c>
      <c r="K163" s="272">
        <f t="shared" si="18"/>
        <v>-152.55724755842863</v>
      </c>
      <c r="L163" s="272">
        <f t="shared" si="19"/>
        <v>6.542399808000001</v>
      </c>
      <c r="M163" s="274">
        <f t="shared" si="20"/>
        <v>9.803023060283037</v>
      </c>
    </row>
    <row r="164" spans="2:13" ht="12.75">
      <c r="B164" s="271">
        <v>88.48</v>
      </c>
      <c r="C164" s="272">
        <v>0.7930606</v>
      </c>
      <c r="D164" s="272">
        <v>0.7930606</v>
      </c>
      <c r="E164" s="273">
        <f t="shared" si="14"/>
        <v>88.99626219146232</v>
      </c>
      <c r="F164" s="273">
        <f t="shared" si="15"/>
        <v>0.025092480766053242</v>
      </c>
      <c r="G164" s="333">
        <f>'ERR &amp; Sensitivity Analysis'!$D$13</f>
        <v>84</v>
      </c>
      <c r="H164" s="332">
        <f>'ERR &amp; Sensitivity Analysis'!$D$14</f>
        <v>0.1</v>
      </c>
      <c r="I164" s="273">
        <f t="shared" si="16"/>
        <v>61.322001888</v>
      </c>
      <c r="J164" s="272">
        <f t="shared" si="17"/>
        <v>68.45236230350831</v>
      </c>
      <c r="K164" s="272">
        <f t="shared" si="18"/>
        <v>8.1943826119207</v>
      </c>
      <c r="L164" s="272">
        <f t="shared" si="19"/>
        <v>61.322001888</v>
      </c>
      <c r="M164" s="274">
        <f t="shared" si="20"/>
        <v>-1.0640221964123953</v>
      </c>
    </row>
    <row r="165" spans="2:13" ht="12.75">
      <c r="B165" s="271">
        <v>9.576</v>
      </c>
      <c r="C165" s="272">
        <v>0.7936507</v>
      </c>
      <c r="D165" s="272">
        <v>0.7936507</v>
      </c>
      <c r="E165" s="273">
        <f t="shared" si="14"/>
        <v>7.515607980222616</v>
      </c>
      <c r="F165" s="273">
        <f t="shared" si="15"/>
        <v>-1.0483151671701518</v>
      </c>
      <c r="G165" s="333">
        <f>'ERR &amp; Sensitivity Analysis'!$D$13</f>
        <v>84</v>
      </c>
      <c r="H165" s="332">
        <f>'ERR &amp; Sensitivity Analysis'!$D$14</f>
        <v>0.1</v>
      </c>
      <c r="I165" s="273">
        <f t="shared" si="16"/>
        <v>6.642399103200001</v>
      </c>
      <c r="J165" s="272">
        <f t="shared" si="17"/>
        <v>-157.3004824020382</v>
      </c>
      <c r="K165" s="272">
        <f t="shared" si="18"/>
        <v>-173.8584484333391</v>
      </c>
      <c r="L165" s="272">
        <f t="shared" si="19"/>
        <v>6.642399103200001</v>
      </c>
      <c r="M165" s="274">
        <f t="shared" si="20"/>
        <v>9.915566928100906</v>
      </c>
    </row>
    <row r="166" spans="2:13" ht="12.75">
      <c r="B166" s="271">
        <v>10.08</v>
      </c>
      <c r="C166" s="272">
        <v>0.7936508</v>
      </c>
      <c r="D166" s="272">
        <v>0.7936508</v>
      </c>
      <c r="E166" s="273">
        <f t="shared" si="14"/>
        <v>7.956570716637979</v>
      </c>
      <c r="F166" s="273">
        <f t="shared" si="15"/>
        <v>-1.0235533589954748</v>
      </c>
      <c r="G166" s="333">
        <f>'ERR &amp; Sensitivity Analysis'!$D$13</f>
        <v>84</v>
      </c>
      <c r="H166" s="332">
        <f>'ERR &amp; Sensitivity Analysis'!$D$14</f>
        <v>0.1</v>
      </c>
      <c r="I166" s="273">
        <f t="shared" si="16"/>
        <v>6.992000064</v>
      </c>
      <c r="J166" s="272">
        <f t="shared" si="17"/>
        <v>-339.65431705673024</v>
      </c>
      <c r="K166" s="272">
        <f t="shared" si="18"/>
        <v>-356.6370300564704</v>
      </c>
      <c r="L166" s="272">
        <f t="shared" si="19"/>
        <v>6.992000064</v>
      </c>
      <c r="M166" s="274">
        <f t="shared" si="20"/>
        <v>9.99071293574016</v>
      </c>
    </row>
    <row r="167" spans="2:13" ht="12.75">
      <c r="B167" s="271">
        <v>10.08</v>
      </c>
      <c r="C167" s="272">
        <v>0.7936508</v>
      </c>
      <c r="D167" s="272">
        <v>0.7936508</v>
      </c>
      <c r="E167" s="273">
        <f t="shared" si="14"/>
        <v>7.956570716637979</v>
      </c>
      <c r="F167" s="273">
        <f t="shared" si="15"/>
        <v>-1.0235533589954748</v>
      </c>
      <c r="G167" s="333">
        <f>'ERR &amp; Sensitivity Analysis'!$D$13</f>
        <v>84</v>
      </c>
      <c r="H167" s="332">
        <f>'ERR &amp; Sensitivity Analysis'!$D$14</f>
        <v>0.1</v>
      </c>
      <c r="I167" s="273">
        <f t="shared" si="16"/>
        <v>6.992000064</v>
      </c>
      <c r="J167" s="272">
        <f t="shared" si="17"/>
        <v>-339.65431705673024</v>
      </c>
      <c r="K167" s="272">
        <f t="shared" si="18"/>
        <v>-356.6370300564704</v>
      </c>
      <c r="L167" s="272">
        <f t="shared" si="19"/>
        <v>6.992000064</v>
      </c>
      <c r="M167" s="274">
        <f t="shared" si="20"/>
        <v>9.99071293574016</v>
      </c>
    </row>
    <row r="168" spans="2:13" ht="12.75">
      <c r="B168" s="271">
        <v>16.8</v>
      </c>
      <c r="C168" s="272">
        <v>0.8035715</v>
      </c>
      <c r="D168" s="272">
        <v>0.8035715</v>
      </c>
      <c r="E168" s="273">
        <f t="shared" si="14"/>
        <v>14.18919213954527</v>
      </c>
      <c r="F168" s="273">
        <f t="shared" si="15"/>
        <v>-0.7723216164201396</v>
      </c>
      <c r="G168" s="333">
        <f>'ERR &amp; Sensitivity Analysis'!$D$13</f>
        <v>84</v>
      </c>
      <c r="H168" s="332">
        <f>'ERR &amp; Sensitivity Analysis'!$D$14</f>
        <v>0.1</v>
      </c>
      <c r="I168" s="273">
        <f t="shared" si="16"/>
        <v>11.8200012</v>
      </c>
      <c r="J168" s="272">
        <f t="shared" si="17"/>
        <v>59.2941718389561</v>
      </c>
      <c r="K168" s="272">
        <f t="shared" si="18"/>
        <v>36.894148086981744</v>
      </c>
      <c r="L168" s="272">
        <f t="shared" si="19"/>
        <v>11.8200012</v>
      </c>
      <c r="M168" s="274">
        <f t="shared" si="20"/>
        <v>10.58002255197436</v>
      </c>
    </row>
    <row r="169" spans="2:13" ht="12.75">
      <c r="B169" s="271">
        <v>9.912</v>
      </c>
      <c r="C169" s="272">
        <v>0.8071025</v>
      </c>
      <c r="D169" s="272">
        <v>0.8071025</v>
      </c>
      <c r="E169" s="273">
        <f t="shared" si="14"/>
        <v>7.960044333277121</v>
      </c>
      <c r="F169" s="273">
        <f t="shared" si="15"/>
        <v>-1.023363799524715</v>
      </c>
      <c r="G169" s="333">
        <f>'ERR &amp; Sensitivity Analysis'!$D$13</f>
        <v>84</v>
      </c>
      <c r="H169" s="332">
        <f>'ERR &amp; Sensitivity Analysis'!$D$14</f>
        <v>0.1</v>
      </c>
      <c r="I169" s="273">
        <f t="shared" si="16"/>
        <v>7.00879998</v>
      </c>
      <c r="J169" s="272">
        <f t="shared" si="17"/>
        <v>-342.4100592687148</v>
      </c>
      <c r="K169" s="272">
        <f t="shared" si="18"/>
        <v>-359.530563130977</v>
      </c>
      <c r="L169" s="272">
        <f t="shared" si="19"/>
        <v>7.00879998</v>
      </c>
      <c r="M169" s="274">
        <f t="shared" si="20"/>
        <v>10.111703882262184</v>
      </c>
    </row>
    <row r="170" spans="2:13" ht="12.75">
      <c r="B170" s="271">
        <v>6.384</v>
      </c>
      <c r="C170" s="272">
        <v>0.8145363</v>
      </c>
      <c r="D170" s="272">
        <v>0.8145363</v>
      </c>
      <c r="E170" s="273">
        <f t="shared" si="14"/>
        <v>4.961732624178747</v>
      </c>
      <c r="F170" s="273">
        <f t="shared" si="15"/>
        <v>-1.2286459285788187</v>
      </c>
      <c r="G170" s="333">
        <f>'ERR &amp; Sensitivity Analysis'!$D$13</f>
        <v>84</v>
      </c>
      <c r="H170" s="332">
        <f>'ERR &amp; Sensitivity Analysis'!$D$14</f>
        <v>0.1</v>
      </c>
      <c r="I170" s="273">
        <f t="shared" si="16"/>
        <v>4.5615997392</v>
      </c>
      <c r="J170" s="272">
        <f t="shared" si="17"/>
        <v>-22.742586196576248</v>
      </c>
      <c r="K170" s="272">
        <f t="shared" si="18"/>
        <v>-36.738025698561074</v>
      </c>
      <c r="L170" s="272">
        <f t="shared" si="19"/>
        <v>4.5615997392</v>
      </c>
      <c r="M170" s="274">
        <f t="shared" si="20"/>
        <v>9.433839762784826</v>
      </c>
    </row>
    <row r="171" spans="2:13" ht="12.75">
      <c r="B171" s="271">
        <v>12.768</v>
      </c>
      <c r="C171" s="272">
        <v>0.8223684</v>
      </c>
      <c r="D171" s="272">
        <v>0.8223684</v>
      </c>
      <c r="E171" s="273">
        <f t="shared" si="14"/>
        <v>10.719737963993936</v>
      </c>
      <c r="F171" s="273">
        <f t="shared" si="15"/>
        <v>-0.8940951165803517</v>
      </c>
      <c r="G171" s="333">
        <f>'ERR &amp; Sensitivity Analysis'!$D$13</f>
        <v>84</v>
      </c>
      <c r="H171" s="332">
        <f>'ERR &amp; Sensitivity Analysis'!$D$14</f>
        <v>0.1</v>
      </c>
      <c r="I171" s="273">
        <f t="shared" si="16"/>
        <v>9.223199731200001</v>
      </c>
      <c r="J171" s="272">
        <f t="shared" si="17"/>
        <v>99.1455671557064</v>
      </c>
      <c r="K171" s="272">
        <f t="shared" si="18"/>
        <v>79.31645575506643</v>
      </c>
      <c r="L171" s="272">
        <f t="shared" si="19"/>
        <v>9.223199731200001</v>
      </c>
      <c r="M171" s="274">
        <f t="shared" si="20"/>
        <v>10.605911669439973</v>
      </c>
    </row>
    <row r="172" spans="2:13" ht="12.75">
      <c r="B172" s="271">
        <v>4.2</v>
      </c>
      <c r="C172" s="272">
        <v>0.8333334</v>
      </c>
      <c r="D172" s="272">
        <v>0.8333334</v>
      </c>
      <c r="E172" s="273">
        <f t="shared" si="14"/>
        <v>3.246188358099223</v>
      </c>
      <c r="F172" s="273">
        <f t="shared" si="15"/>
        <v>-1.4129055701681605</v>
      </c>
      <c r="G172" s="333">
        <f>'ERR &amp; Sensitivity Analysis'!$D$13</f>
        <v>84</v>
      </c>
      <c r="H172" s="332">
        <f>'ERR &amp; Sensitivity Analysis'!$D$14</f>
        <v>0.1</v>
      </c>
      <c r="I172" s="273">
        <f t="shared" si="16"/>
        <v>3.08000028</v>
      </c>
      <c r="J172" s="272">
        <f t="shared" si="17"/>
        <v>-8.476515050583076</v>
      </c>
      <c r="K172" s="272">
        <f t="shared" si="18"/>
        <v>-20.343634493908624</v>
      </c>
      <c r="L172" s="272">
        <f t="shared" si="19"/>
        <v>3.08000028</v>
      </c>
      <c r="M172" s="274">
        <f t="shared" si="20"/>
        <v>8.787119163325547</v>
      </c>
    </row>
    <row r="173" spans="2:13" ht="12.75">
      <c r="B173" s="271">
        <v>4.956</v>
      </c>
      <c r="C173" s="272">
        <v>0.8474576</v>
      </c>
      <c r="D173" s="272">
        <v>0.8474576</v>
      </c>
      <c r="E173" s="273">
        <f t="shared" si="14"/>
        <v>3.9804734782193663</v>
      </c>
      <c r="F173" s="273">
        <f t="shared" si="15"/>
        <v>-1.3243445514887766</v>
      </c>
      <c r="G173" s="333">
        <f>'ERR &amp; Sensitivity Analysis'!$D$13</f>
        <v>84</v>
      </c>
      <c r="H173" s="332">
        <f>'ERR &amp; Sensitivity Analysis'!$D$14</f>
        <v>0.1</v>
      </c>
      <c r="I173" s="273">
        <f t="shared" si="16"/>
        <v>3.7043998656000006</v>
      </c>
      <c r="J173" s="272">
        <f t="shared" si="17"/>
        <v>-12.949191982173113</v>
      </c>
      <c r="K173" s="272">
        <f t="shared" si="18"/>
        <v>-25.898384793094532</v>
      </c>
      <c r="L173" s="272">
        <f t="shared" si="19"/>
        <v>3.7043998656000006</v>
      </c>
      <c r="M173" s="274">
        <f t="shared" si="20"/>
        <v>9.244792945321418</v>
      </c>
    </row>
    <row r="174" spans="2:13" ht="12.75">
      <c r="B174" s="271">
        <v>9.576</v>
      </c>
      <c r="C174" s="272">
        <v>0.8615288</v>
      </c>
      <c r="D174" s="272">
        <v>0.8615288</v>
      </c>
      <c r="E174" s="273">
        <f t="shared" si="14"/>
        <v>8.239717907403206</v>
      </c>
      <c r="F174" s="273">
        <f t="shared" si="15"/>
        <v>-1.0083669424904067</v>
      </c>
      <c r="G174" s="333">
        <f>'ERR &amp; Sensitivity Analysis'!$D$13</f>
        <v>84</v>
      </c>
      <c r="H174" s="332">
        <f>'ERR &amp; Sensitivity Analysis'!$D$14</f>
        <v>0.1</v>
      </c>
      <c r="I174" s="273">
        <f t="shared" si="16"/>
        <v>7.2923997888</v>
      </c>
      <c r="J174" s="272">
        <f t="shared" si="17"/>
        <v>-986.0232454399217</v>
      </c>
      <c r="K174" s="272">
        <f t="shared" si="18"/>
        <v>-1003.9509665127018</v>
      </c>
      <c r="L174" s="272">
        <f t="shared" si="19"/>
        <v>7.2923997888</v>
      </c>
      <c r="M174" s="274">
        <f t="shared" si="20"/>
        <v>10.635321283980172</v>
      </c>
    </row>
    <row r="175" spans="2:13" ht="12.75">
      <c r="B175" s="271">
        <v>12.768</v>
      </c>
      <c r="C175" s="272">
        <v>0.8615289</v>
      </c>
      <c r="D175" s="272">
        <v>0.8615289</v>
      </c>
      <c r="E175" s="273">
        <f t="shared" si="14"/>
        <v>11.207226803457766</v>
      </c>
      <c r="F175" s="273">
        <f t="shared" si="15"/>
        <v>-0.8747811251131115</v>
      </c>
      <c r="G175" s="333">
        <f>'ERR &amp; Sensitivity Analysis'!$D$13</f>
        <v>84</v>
      </c>
      <c r="H175" s="332">
        <f>'ERR &amp; Sensitivity Analysis'!$D$14</f>
        <v>0.1</v>
      </c>
      <c r="I175" s="273">
        <f t="shared" si="16"/>
        <v>9.723200995200001</v>
      </c>
      <c r="J175" s="272">
        <f t="shared" si="17"/>
        <v>87.84618936351579</v>
      </c>
      <c r="K175" s="272">
        <f t="shared" si="18"/>
        <v>67.08253853572636</v>
      </c>
      <c r="L175" s="272">
        <f t="shared" si="19"/>
        <v>9.723200995200001</v>
      </c>
      <c r="M175" s="274">
        <f t="shared" si="20"/>
        <v>11.040449832589433</v>
      </c>
    </row>
    <row r="176" spans="2:13" ht="12.75">
      <c r="B176" s="271">
        <v>5.6</v>
      </c>
      <c r="C176" s="272">
        <v>0.8928571</v>
      </c>
      <c r="D176" s="272">
        <v>0.8928571</v>
      </c>
      <c r="E176" s="273">
        <f t="shared" si="14"/>
        <v>4.867507778127568</v>
      </c>
      <c r="F176" s="273">
        <f t="shared" si="15"/>
        <v>-1.236972631880047</v>
      </c>
      <c r="G176" s="333">
        <f>'ERR &amp; Sensitivity Analysis'!$D$13</f>
        <v>84</v>
      </c>
      <c r="H176" s="332">
        <f>'ERR &amp; Sensitivity Analysis'!$D$14</f>
        <v>0.1</v>
      </c>
      <c r="I176" s="273">
        <f t="shared" si="16"/>
        <v>4.439999759999999</v>
      </c>
      <c r="J176" s="272">
        <f t="shared" si="17"/>
        <v>-21.0994819120334</v>
      </c>
      <c r="K176" s="272">
        <f t="shared" si="18"/>
        <v>-35.44713131367841</v>
      </c>
      <c r="L176" s="272">
        <f t="shared" si="19"/>
        <v>4.439999759999999</v>
      </c>
      <c r="M176" s="274">
        <f t="shared" si="20"/>
        <v>9.907649641645012</v>
      </c>
    </row>
    <row r="177" spans="2:13" ht="12.75">
      <c r="B177" s="271">
        <v>8.96</v>
      </c>
      <c r="C177" s="272">
        <v>0.8928571</v>
      </c>
      <c r="D177" s="272">
        <v>0.8928571</v>
      </c>
      <c r="E177" s="273">
        <f t="shared" si="14"/>
        <v>7.979819774015056</v>
      </c>
      <c r="F177" s="273">
        <f t="shared" si="15"/>
        <v>-1.0222862032367956</v>
      </c>
      <c r="G177" s="333">
        <f>'ERR &amp; Sensitivity Analysis'!$D$13</f>
        <v>84</v>
      </c>
      <c r="H177" s="332">
        <f>'ERR &amp; Sensitivity Analysis'!$D$14</f>
        <v>0.1</v>
      </c>
      <c r="I177" s="273">
        <f t="shared" si="16"/>
        <v>7.103999616</v>
      </c>
      <c r="J177" s="272">
        <f t="shared" si="17"/>
        <v>-358.9664659788976</v>
      </c>
      <c r="K177" s="272">
        <f t="shared" si="18"/>
        <v>-376.9148073697531</v>
      </c>
      <c r="L177" s="272">
        <f t="shared" si="19"/>
        <v>7.103999616</v>
      </c>
      <c r="M177" s="274">
        <f t="shared" si="20"/>
        <v>10.84434177485549</v>
      </c>
    </row>
    <row r="178" spans="2:13" ht="12.75">
      <c r="B178" s="271">
        <v>10.08</v>
      </c>
      <c r="C178" s="272">
        <v>0.8928571</v>
      </c>
      <c r="D178" s="272">
        <v>0.8928571</v>
      </c>
      <c r="E178" s="273">
        <f t="shared" si="14"/>
        <v>9.032200288407344</v>
      </c>
      <c r="F178" s="273">
        <f t="shared" si="15"/>
        <v>-0.9684857265885422</v>
      </c>
      <c r="G178" s="333">
        <f>'ERR &amp; Sensitivity Analysis'!$D$13</f>
        <v>84</v>
      </c>
      <c r="H178" s="332">
        <f>'ERR &amp; Sensitivity Analysis'!$D$14</f>
        <v>0.1</v>
      </c>
      <c r="I178" s="273">
        <f t="shared" si="16"/>
        <v>7.991999568</v>
      </c>
      <c r="J178" s="272">
        <f t="shared" si="17"/>
        <v>285.5848665934278</v>
      </c>
      <c r="K178" s="272">
        <f t="shared" si="18"/>
        <v>266.5458882814019</v>
      </c>
      <c r="L178" s="272">
        <f t="shared" si="19"/>
        <v>7.991999568</v>
      </c>
      <c r="M178" s="274">
        <f t="shared" si="20"/>
        <v>11.046978744025903</v>
      </c>
    </row>
    <row r="179" spans="2:13" ht="12.75">
      <c r="B179" s="271">
        <v>6.72</v>
      </c>
      <c r="C179" s="272">
        <v>0.8928572</v>
      </c>
      <c r="D179" s="272">
        <v>0.8928572</v>
      </c>
      <c r="E179" s="273">
        <f t="shared" si="14"/>
        <v>5.896398735310359</v>
      </c>
      <c r="F179" s="273">
        <f t="shared" si="15"/>
        <v>-1.1536924416909133</v>
      </c>
      <c r="G179" s="333">
        <f>'ERR &amp; Sensitivity Analysis'!$D$13</f>
        <v>84</v>
      </c>
      <c r="H179" s="332">
        <f>'ERR &amp; Sensitivity Analysis'!$D$14</f>
        <v>0.1</v>
      </c>
      <c r="I179" s="273">
        <f t="shared" si="16"/>
        <v>5.328000384</v>
      </c>
      <c r="J179" s="272">
        <f t="shared" si="17"/>
        <v>-39.03900750087916</v>
      </c>
      <c r="K179" s="272">
        <f t="shared" si="18"/>
        <v>-54.65460700333599</v>
      </c>
      <c r="L179" s="272">
        <f t="shared" si="19"/>
        <v>5.328000384</v>
      </c>
      <c r="M179" s="274">
        <f t="shared" si="20"/>
        <v>10.287599118456832</v>
      </c>
    </row>
    <row r="180" spans="2:13" ht="12.75">
      <c r="B180" s="271">
        <v>33.6</v>
      </c>
      <c r="C180" s="272">
        <v>0.8928572</v>
      </c>
      <c r="D180" s="272">
        <v>0.8928572</v>
      </c>
      <c r="E180" s="273">
        <f t="shared" si="14"/>
        <v>32.043473913296175</v>
      </c>
      <c r="F180" s="273">
        <f t="shared" si="15"/>
        <v>-0.4185396931443403</v>
      </c>
      <c r="G180" s="333">
        <f>'ERR &amp; Sensitivity Analysis'!$D$13</f>
        <v>84</v>
      </c>
      <c r="H180" s="332">
        <f>'ERR &amp; Sensitivity Analysis'!$D$14</f>
        <v>0.1</v>
      </c>
      <c r="I180" s="273">
        <f t="shared" si="16"/>
        <v>26.640001920000003</v>
      </c>
      <c r="J180" s="272">
        <f t="shared" si="17"/>
        <v>51.59423879203354</v>
      </c>
      <c r="K180" s="272">
        <f t="shared" si="18"/>
        <v>14.446385937200695</v>
      </c>
      <c r="L180" s="272">
        <f t="shared" si="19"/>
        <v>26.640001920000003</v>
      </c>
      <c r="M180" s="274">
        <f t="shared" si="20"/>
        <v>10.507850934832845</v>
      </c>
    </row>
    <row r="181" spans="2:13" ht="12.75">
      <c r="B181" s="271">
        <v>4.2</v>
      </c>
      <c r="C181" s="272">
        <v>0.9047619</v>
      </c>
      <c r="D181" s="272">
        <v>0.9047619</v>
      </c>
      <c r="E181" s="273">
        <f t="shared" si="14"/>
        <v>3.665467980949983</v>
      </c>
      <c r="F181" s="273">
        <f t="shared" si="15"/>
        <v>-1.3601498559061695</v>
      </c>
      <c r="G181" s="333">
        <f>'ERR &amp; Sensitivity Analysis'!$D$13</f>
        <v>84</v>
      </c>
      <c r="H181" s="332">
        <f>'ERR &amp; Sensitivity Analysis'!$D$14</f>
        <v>0.1</v>
      </c>
      <c r="I181" s="273">
        <f t="shared" si="16"/>
        <v>3.3799999800000005</v>
      </c>
      <c r="J181" s="272">
        <f t="shared" si="17"/>
        <v>-10.551163405129948</v>
      </c>
      <c r="K181" s="272">
        <f t="shared" si="18"/>
        <v>-23.32362449199054</v>
      </c>
      <c r="L181" s="272">
        <f t="shared" si="19"/>
        <v>3.3799999800000005</v>
      </c>
      <c r="M181" s="274">
        <f t="shared" si="20"/>
        <v>9.39246110686059</v>
      </c>
    </row>
    <row r="182" spans="2:13" ht="12.75">
      <c r="B182" s="271">
        <v>1.652</v>
      </c>
      <c r="C182" s="272">
        <v>0.9079903</v>
      </c>
      <c r="D182" s="272">
        <v>0.9079903</v>
      </c>
      <c r="E182" s="273">
        <f t="shared" si="14"/>
        <v>1.391092109567675</v>
      </c>
      <c r="F182" s="273">
        <f t="shared" si="15"/>
        <v>-1.7809233988070194</v>
      </c>
      <c r="G182" s="333">
        <f>'ERR &amp; Sensitivity Analysis'!$D$13</f>
        <v>84</v>
      </c>
      <c r="H182" s="332">
        <f>'ERR &amp; Sensitivity Analysis'!$D$14</f>
        <v>0.1</v>
      </c>
      <c r="I182" s="273">
        <f t="shared" si="16"/>
        <v>1.3347999756</v>
      </c>
      <c r="J182" s="272">
        <f t="shared" si="17"/>
        <v>-1.9208029595367233</v>
      </c>
      <c r="K182" s="272">
        <f t="shared" si="18"/>
        <v>-10.756496748377998</v>
      </c>
      <c r="L182" s="272">
        <f t="shared" si="19"/>
        <v>1.3347999756</v>
      </c>
      <c r="M182" s="274">
        <f t="shared" si="20"/>
        <v>7.500893813241274</v>
      </c>
    </row>
    <row r="183" spans="2:13" ht="12.75">
      <c r="B183" s="271">
        <v>3.304</v>
      </c>
      <c r="C183" s="272">
        <v>0.9079903</v>
      </c>
      <c r="D183" s="272">
        <v>0.9079903</v>
      </c>
      <c r="E183" s="273">
        <f t="shared" si="14"/>
        <v>2.8678524649914054</v>
      </c>
      <c r="F183" s="273">
        <f t="shared" si="15"/>
        <v>-1.466722480519469</v>
      </c>
      <c r="G183" s="333">
        <f>'ERR &amp; Sensitivity Analysis'!$D$13</f>
        <v>84</v>
      </c>
      <c r="H183" s="332">
        <f>'ERR &amp; Sensitivity Analysis'!$D$14</f>
        <v>0.1</v>
      </c>
      <c r="I183" s="273">
        <f t="shared" si="16"/>
        <v>2.6695999512</v>
      </c>
      <c r="J183" s="272">
        <f t="shared" si="17"/>
        <v>-6.4278025516597275</v>
      </c>
      <c r="K183" s="272">
        <f t="shared" si="18"/>
        <v>-17.997847437412215</v>
      </c>
      <c r="L183" s="272">
        <f t="shared" si="19"/>
        <v>2.6695999512</v>
      </c>
      <c r="M183" s="274">
        <f t="shared" si="20"/>
        <v>8.900444934552487</v>
      </c>
    </row>
    <row r="184" spans="2:13" ht="12.75">
      <c r="B184" s="271">
        <v>6.608</v>
      </c>
      <c r="C184" s="272">
        <v>0.9079903</v>
      </c>
      <c r="D184" s="272">
        <v>0.9079903</v>
      </c>
      <c r="E184" s="273">
        <f t="shared" si="14"/>
        <v>5.912317167490314</v>
      </c>
      <c r="F184" s="273">
        <f t="shared" si="15"/>
        <v>-1.1525215622319187</v>
      </c>
      <c r="G184" s="333">
        <f>'ERR &amp; Sensitivity Analysis'!$D$13</f>
        <v>84</v>
      </c>
      <c r="H184" s="332">
        <f>'ERR &amp; Sensitivity Analysis'!$D$14</f>
        <v>0.1</v>
      </c>
      <c r="I184" s="273">
        <f t="shared" si="16"/>
        <v>5.3391999024</v>
      </c>
      <c r="J184" s="272">
        <f t="shared" si="17"/>
        <v>-39.33869949008666</v>
      </c>
      <c r="K184" s="272">
        <f t="shared" si="18"/>
        <v>-55.07418018199465</v>
      </c>
      <c r="L184" s="272">
        <f t="shared" si="19"/>
        <v>5.3391999024</v>
      </c>
      <c r="M184" s="274">
        <f t="shared" si="20"/>
        <v>10.396280789507987</v>
      </c>
    </row>
    <row r="185" spans="2:13" ht="12.75">
      <c r="B185" s="271">
        <v>2.52</v>
      </c>
      <c r="C185" s="272">
        <v>0.9126984</v>
      </c>
      <c r="D185" s="272">
        <v>0.9126984</v>
      </c>
      <c r="E185" s="273">
        <f t="shared" si="14"/>
        <v>2.18015764245589</v>
      </c>
      <c r="F185" s="273">
        <f t="shared" si="15"/>
        <v>-1.5857913884327666</v>
      </c>
      <c r="G185" s="333">
        <f>'ERR &amp; Sensitivity Analysis'!$D$13</f>
        <v>84</v>
      </c>
      <c r="H185" s="332">
        <f>'ERR &amp; Sensitivity Analysis'!$D$14</f>
        <v>0.1</v>
      </c>
      <c r="I185" s="273">
        <f t="shared" si="16"/>
        <v>2.047999968</v>
      </c>
      <c r="J185" s="272">
        <f t="shared" si="17"/>
        <v>-3.926312358659706</v>
      </c>
      <c r="K185" s="272">
        <f t="shared" si="18"/>
        <v>-14.339575770264334</v>
      </c>
      <c r="L185" s="272">
        <f t="shared" si="19"/>
        <v>2.047999968</v>
      </c>
      <c r="M185" s="274">
        <f t="shared" si="20"/>
        <v>8.36526344360463</v>
      </c>
    </row>
    <row r="186" spans="2:13" ht="12.75">
      <c r="B186" s="271">
        <v>9.576</v>
      </c>
      <c r="C186" s="272">
        <v>0.9398496</v>
      </c>
      <c r="D186" s="272">
        <v>0.9398496</v>
      </c>
      <c r="E186" s="273">
        <f t="shared" si="14"/>
        <v>9.01720840976836</v>
      </c>
      <c r="F186" s="273">
        <f t="shared" si="15"/>
        <v>-0.9692071786618416</v>
      </c>
      <c r="G186" s="333">
        <f>'ERR &amp; Sensitivity Analysis'!$D$13</f>
        <v>84</v>
      </c>
      <c r="H186" s="332">
        <f>'ERR &amp; Sensitivity Analysis'!$D$14</f>
        <v>0.1</v>
      </c>
      <c r="I186" s="273">
        <f t="shared" si="16"/>
        <v>8.0423997696</v>
      </c>
      <c r="J186" s="272">
        <f t="shared" si="17"/>
        <v>292.27590647717665</v>
      </c>
      <c r="K186" s="272">
        <f t="shared" si="18"/>
        <v>272.79085302881083</v>
      </c>
      <c r="L186" s="272">
        <f t="shared" si="19"/>
        <v>8.0423997696</v>
      </c>
      <c r="M186" s="274">
        <f t="shared" si="20"/>
        <v>11.442653678765819</v>
      </c>
    </row>
    <row r="187" spans="2:13" ht="12.75">
      <c r="B187" s="271">
        <v>19.152</v>
      </c>
      <c r="C187" s="272">
        <v>0.9398496</v>
      </c>
      <c r="D187" s="272">
        <v>0.9398496</v>
      </c>
      <c r="E187" s="273">
        <f t="shared" si="14"/>
        <v>18.38386819275954</v>
      </c>
      <c r="F187" s="273">
        <f t="shared" si="15"/>
        <v>-0.6598423884775942</v>
      </c>
      <c r="G187" s="333">
        <f>'ERR &amp; Sensitivity Analysis'!$D$13</f>
        <v>84</v>
      </c>
      <c r="H187" s="332">
        <f>'ERR &amp; Sensitivity Analysis'!$D$14</f>
        <v>0.1</v>
      </c>
      <c r="I187" s="273">
        <f t="shared" si="16"/>
        <v>16.0847995392</v>
      </c>
      <c r="J187" s="272">
        <f t="shared" si="17"/>
        <v>52.91664490069587</v>
      </c>
      <c r="K187" s="272">
        <f t="shared" si="18"/>
        <v>24.69443491916895</v>
      </c>
      <c r="L187" s="272">
        <f t="shared" si="19"/>
        <v>16.0847995392</v>
      </c>
      <c r="M187" s="274">
        <f t="shared" si="20"/>
        <v>12.137410442326924</v>
      </c>
    </row>
    <row r="188" spans="2:13" ht="12.75">
      <c r="B188" s="271">
        <v>3.192</v>
      </c>
      <c r="C188" s="272">
        <v>0.9398497</v>
      </c>
      <c r="D188" s="272">
        <v>0.9398497</v>
      </c>
      <c r="E188" s="273">
        <f t="shared" si="14"/>
        <v>2.9156848834596953</v>
      </c>
      <c r="F188" s="273">
        <f t="shared" si="15"/>
        <v>-1.4595387008362637</v>
      </c>
      <c r="G188" s="333">
        <f>'ERR &amp; Sensitivity Analysis'!$D$13</f>
        <v>84</v>
      </c>
      <c r="H188" s="332">
        <f>'ERR &amp; Sensitivity Analysis'!$D$14</f>
        <v>0.1</v>
      </c>
      <c r="I188" s="273">
        <f t="shared" si="16"/>
        <v>2.6808002424</v>
      </c>
      <c r="J188" s="272">
        <f t="shared" si="17"/>
        <v>-6.5282863814095125</v>
      </c>
      <c r="K188" s="272">
        <f t="shared" si="18"/>
        <v>-18.279200390987246</v>
      </c>
      <c r="L188" s="272">
        <f t="shared" si="19"/>
        <v>2.6808002424</v>
      </c>
      <c r="M188" s="274">
        <f t="shared" si="20"/>
        <v>9.070113767177734</v>
      </c>
    </row>
    <row r="189" spans="2:13" ht="12.75">
      <c r="B189" s="271">
        <v>3.192</v>
      </c>
      <c r="C189" s="272">
        <v>0.9398497</v>
      </c>
      <c r="D189" s="272">
        <v>0.9398497</v>
      </c>
      <c r="E189" s="273">
        <f t="shared" si="14"/>
        <v>2.9156848834596953</v>
      </c>
      <c r="F189" s="273">
        <f t="shared" si="15"/>
        <v>-1.4595387008362637</v>
      </c>
      <c r="G189" s="333">
        <f>'ERR &amp; Sensitivity Analysis'!$D$13</f>
        <v>84</v>
      </c>
      <c r="H189" s="332">
        <f>'ERR &amp; Sensitivity Analysis'!$D$14</f>
        <v>0.1</v>
      </c>
      <c r="I189" s="273">
        <f t="shared" si="16"/>
        <v>2.6808002424</v>
      </c>
      <c r="J189" s="272">
        <f t="shared" si="17"/>
        <v>-6.5282863814095125</v>
      </c>
      <c r="K189" s="272">
        <f t="shared" si="18"/>
        <v>-18.279200390987246</v>
      </c>
      <c r="L189" s="272">
        <f t="shared" si="19"/>
        <v>2.6808002424</v>
      </c>
      <c r="M189" s="274">
        <f t="shared" si="20"/>
        <v>9.070113767177734</v>
      </c>
    </row>
    <row r="190" spans="2:13" ht="12.75">
      <c r="B190" s="271">
        <v>3.192</v>
      </c>
      <c r="C190" s="272">
        <v>0.9398497</v>
      </c>
      <c r="D190" s="272">
        <v>0.9398497</v>
      </c>
      <c r="E190" s="273">
        <f t="shared" si="14"/>
        <v>2.9156848834596953</v>
      </c>
      <c r="F190" s="273">
        <f t="shared" si="15"/>
        <v>-1.4595387008362637</v>
      </c>
      <c r="G190" s="333">
        <f>'ERR &amp; Sensitivity Analysis'!$D$13</f>
        <v>84</v>
      </c>
      <c r="H190" s="332">
        <f>'ERR &amp; Sensitivity Analysis'!$D$14</f>
        <v>0.1</v>
      </c>
      <c r="I190" s="273">
        <f t="shared" si="16"/>
        <v>2.6808002424</v>
      </c>
      <c r="J190" s="272">
        <f t="shared" si="17"/>
        <v>-6.5282863814095125</v>
      </c>
      <c r="K190" s="272">
        <f t="shared" si="18"/>
        <v>-18.279200390987246</v>
      </c>
      <c r="L190" s="272">
        <f t="shared" si="19"/>
        <v>2.6808002424</v>
      </c>
      <c r="M190" s="274">
        <f t="shared" si="20"/>
        <v>9.070113767177734</v>
      </c>
    </row>
    <row r="191" spans="2:13" ht="12.75">
      <c r="B191" s="271">
        <v>3.192</v>
      </c>
      <c r="C191" s="272">
        <v>0.9398497</v>
      </c>
      <c r="D191" s="272">
        <v>0.9398497</v>
      </c>
      <c r="E191" s="273">
        <f t="shared" si="14"/>
        <v>2.9156848834596953</v>
      </c>
      <c r="F191" s="273">
        <f t="shared" si="15"/>
        <v>-1.4595387008362637</v>
      </c>
      <c r="G191" s="333">
        <f>'ERR &amp; Sensitivity Analysis'!$D$13</f>
        <v>84</v>
      </c>
      <c r="H191" s="332">
        <f>'ERR &amp; Sensitivity Analysis'!$D$14</f>
        <v>0.1</v>
      </c>
      <c r="I191" s="273">
        <f t="shared" si="16"/>
        <v>2.6808002424</v>
      </c>
      <c r="J191" s="272">
        <f t="shared" si="17"/>
        <v>-6.5282863814095125</v>
      </c>
      <c r="K191" s="272">
        <f t="shared" si="18"/>
        <v>-18.279200390987246</v>
      </c>
      <c r="L191" s="272">
        <f t="shared" si="19"/>
        <v>2.6808002424</v>
      </c>
      <c r="M191" s="274">
        <f t="shared" si="20"/>
        <v>9.070113767177734</v>
      </c>
    </row>
    <row r="192" spans="2:13" ht="12.75">
      <c r="B192" s="271">
        <v>3.192</v>
      </c>
      <c r="C192" s="272">
        <v>0.9398497</v>
      </c>
      <c r="D192" s="272">
        <v>0.9398497</v>
      </c>
      <c r="E192" s="273">
        <f t="shared" si="14"/>
        <v>2.9156848834596953</v>
      </c>
      <c r="F192" s="273">
        <f t="shared" si="15"/>
        <v>-1.4595387008362637</v>
      </c>
      <c r="G192" s="333">
        <f>'ERR &amp; Sensitivity Analysis'!$D$13</f>
        <v>84</v>
      </c>
      <c r="H192" s="332">
        <f>'ERR &amp; Sensitivity Analysis'!$D$14</f>
        <v>0.1</v>
      </c>
      <c r="I192" s="273">
        <f t="shared" si="16"/>
        <v>2.6808002424</v>
      </c>
      <c r="J192" s="272">
        <f t="shared" si="17"/>
        <v>-6.5282863814095125</v>
      </c>
      <c r="K192" s="272">
        <f t="shared" si="18"/>
        <v>-18.279200390987246</v>
      </c>
      <c r="L192" s="272">
        <f t="shared" si="19"/>
        <v>2.6808002424</v>
      </c>
      <c r="M192" s="274">
        <f t="shared" si="20"/>
        <v>9.070113767177734</v>
      </c>
    </row>
    <row r="193" spans="2:13" ht="12.75">
      <c r="B193" s="271">
        <v>6.384</v>
      </c>
      <c r="C193" s="272">
        <v>0.9398497</v>
      </c>
      <c r="D193" s="272">
        <v>0.9398497</v>
      </c>
      <c r="E193" s="273">
        <f t="shared" si="14"/>
        <v>5.94436352583971</v>
      </c>
      <c r="F193" s="273">
        <f t="shared" si="15"/>
        <v>-1.150173925343238</v>
      </c>
      <c r="G193" s="333">
        <f>'ERR &amp; Sensitivity Analysis'!$D$13</f>
        <v>84</v>
      </c>
      <c r="H193" s="332">
        <f>'ERR &amp; Sensitivity Analysis'!$D$14</f>
        <v>0.1</v>
      </c>
      <c r="I193" s="273">
        <f t="shared" si="16"/>
        <v>5.3616004848</v>
      </c>
      <c r="J193" s="272">
        <f t="shared" si="17"/>
        <v>-39.95367685226569</v>
      </c>
      <c r="K193" s="272">
        <f t="shared" si="18"/>
        <v>-55.93514307361242</v>
      </c>
      <c r="L193" s="272">
        <f t="shared" si="19"/>
        <v>5.3616004848</v>
      </c>
      <c r="M193" s="274">
        <f t="shared" si="20"/>
        <v>10.619865736546735</v>
      </c>
    </row>
    <row r="194" spans="2:13" ht="12.75">
      <c r="B194" s="271">
        <v>6.384</v>
      </c>
      <c r="C194" s="272">
        <v>0.9398497</v>
      </c>
      <c r="D194" s="272">
        <v>0.9398497</v>
      </c>
      <c r="E194" s="273">
        <f t="shared" si="14"/>
        <v>5.94436352583971</v>
      </c>
      <c r="F194" s="273">
        <f t="shared" si="15"/>
        <v>-1.150173925343238</v>
      </c>
      <c r="G194" s="333">
        <f>'ERR &amp; Sensitivity Analysis'!$D$13</f>
        <v>84</v>
      </c>
      <c r="H194" s="332">
        <f>'ERR &amp; Sensitivity Analysis'!$D$14</f>
        <v>0.1</v>
      </c>
      <c r="I194" s="273">
        <f t="shared" si="16"/>
        <v>5.3616004848</v>
      </c>
      <c r="J194" s="272">
        <f t="shared" si="17"/>
        <v>-39.95367685226569</v>
      </c>
      <c r="K194" s="272">
        <f t="shared" si="18"/>
        <v>-55.93514307361242</v>
      </c>
      <c r="L194" s="272">
        <f t="shared" si="19"/>
        <v>5.3616004848</v>
      </c>
      <c r="M194" s="274">
        <f t="shared" si="20"/>
        <v>10.619865736546735</v>
      </c>
    </row>
    <row r="195" spans="2:13" ht="12.75">
      <c r="B195" s="271">
        <v>6.384</v>
      </c>
      <c r="C195" s="272">
        <v>0.9398497</v>
      </c>
      <c r="D195" s="272">
        <v>0.9398497</v>
      </c>
      <c r="E195" s="273">
        <f t="shared" si="14"/>
        <v>5.94436352583971</v>
      </c>
      <c r="F195" s="273">
        <f t="shared" si="15"/>
        <v>-1.150173925343238</v>
      </c>
      <c r="G195" s="333">
        <f>'ERR &amp; Sensitivity Analysis'!$D$13</f>
        <v>84</v>
      </c>
      <c r="H195" s="332">
        <f>'ERR &amp; Sensitivity Analysis'!$D$14</f>
        <v>0.1</v>
      </c>
      <c r="I195" s="273">
        <f t="shared" si="16"/>
        <v>5.3616004848</v>
      </c>
      <c r="J195" s="272">
        <f t="shared" si="17"/>
        <v>-39.95367685226569</v>
      </c>
      <c r="K195" s="272">
        <f t="shared" si="18"/>
        <v>-55.93514307361242</v>
      </c>
      <c r="L195" s="272">
        <f t="shared" si="19"/>
        <v>5.3616004848</v>
      </c>
      <c r="M195" s="274">
        <f t="shared" si="20"/>
        <v>10.619865736546735</v>
      </c>
    </row>
    <row r="196" spans="2:13" ht="12.75">
      <c r="B196" s="271">
        <v>6.384</v>
      </c>
      <c r="C196" s="272">
        <v>0.9398497</v>
      </c>
      <c r="D196" s="272">
        <v>0.9398497</v>
      </c>
      <c r="E196" s="273">
        <f t="shared" si="14"/>
        <v>5.94436352583971</v>
      </c>
      <c r="F196" s="273">
        <f t="shared" si="15"/>
        <v>-1.150173925343238</v>
      </c>
      <c r="G196" s="333">
        <f>'ERR &amp; Sensitivity Analysis'!$D$13</f>
        <v>84</v>
      </c>
      <c r="H196" s="332">
        <f>'ERR &amp; Sensitivity Analysis'!$D$14</f>
        <v>0.1</v>
      </c>
      <c r="I196" s="273">
        <f t="shared" si="16"/>
        <v>5.3616004848</v>
      </c>
      <c r="J196" s="272">
        <f t="shared" si="17"/>
        <v>-39.95367685226569</v>
      </c>
      <c r="K196" s="272">
        <f t="shared" si="18"/>
        <v>-55.93514307361242</v>
      </c>
      <c r="L196" s="272">
        <f t="shared" si="19"/>
        <v>5.3616004848</v>
      </c>
      <c r="M196" s="274">
        <f t="shared" si="20"/>
        <v>10.619865736546735</v>
      </c>
    </row>
    <row r="197" spans="2:13" ht="12.75">
      <c r="B197" s="271">
        <v>6.384</v>
      </c>
      <c r="C197" s="272">
        <v>0.9398497</v>
      </c>
      <c r="D197" s="272">
        <v>0.9398497</v>
      </c>
      <c r="E197" s="273">
        <f t="shared" si="14"/>
        <v>5.94436352583971</v>
      </c>
      <c r="F197" s="273">
        <f t="shared" si="15"/>
        <v>-1.150173925343238</v>
      </c>
      <c r="G197" s="333">
        <f>'ERR &amp; Sensitivity Analysis'!$D$13</f>
        <v>84</v>
      </c>
      <c r="H197" s="332">
        <f>'ERR &amp; Sensitivity Analysis'!$D$14</f>
        <v>0.1</v>
      </c>
      <c r="I197" s="273">
        <f t="shared" si="16"/>
        <v>5.3616004848</v>
      </c>
      <c r="J197" s="272">
        <f t="shared" si="17"/>
        <v>-39.95367685226569</v>
      </c>
      <c r="K197" s="272">
        <f t="shared" si="18"/>
        <v>-55.93514307361242</v>
      </c>
      <c r="L197" s="272">
        <f t="shared" si="19"/>
        <v>5.3616004848</v>
      </c>
      <c r="M197" s="274">
        <f t="shared" si="20"/>
        <v>10.619865736546735</v>
      </c>
    </row>
    <row r="198" spans="2:13" ht="12.75">
      <c r="B198" s="271">
        <v>6.384</v>
      </c>
      <c r="C198" s="272">
        <v>0.9398497</v>
      </c>
      <c r="D198" s="272">
        <v>0.9398497</v>
      </c>
      <c r="E198" s="273">
        <f t="shared" si="14"/>
        <v>5.94436352583971</v>
      </c>
      <c r="F198" s="273">
        <f t="shared" si="15"/>
        <v>-1.150173925343238</v>
      </c>
      <c r="G198" s="333">
        <f>'ERR &amp; Sensitivity Analysis'!$D$13</f>
        <v>84</v>
      </c>
      <c r="H198" s="332">
        <f>'ERR &amp; Sensitivity Analysis'!$D$14</f>
        <v>0.1</v>
      </c>
      <c r="I198" s="273">
        <f t="shared" si="16"/>
        <v>5.3616004848</v>
      </c>
      <c r="J198" s="272">
        <f t="shared" si="17"/>
        <v>-39.95367685226569</v>
      </c>
      <c r="K198" s="272">
        <f t="shared" si="18"/>
        <v>-55.93514307361242</v>
      </c>
      <c r="L198" s="272">
        <f t="shared" si="19"/>
        <v>5.3616004848</v>
      </c>
      <c r="M198" s="274">
        <f t="shared" si="20"/>
        <v>10.619865736546735</v>
      </c>
    </row>
    <row r="199" spans="2:13" ht="12.75">
      <c r="B199" s="271">
        <v>6.384</v>
      </c>
      <c r="C199" s="272">
        <v>0.9398497</v>
      </c>
      <c r="D199" s="272">
        <v>0.9398497</v>
      </c>
      <c r="E199" s="273">
        <f t="shared" si="14"/>
        <v>5.94436352583971</v>
      </c>
      <c r="F199" s="273">
        <f t="shared" si="15"/>
        <v>-1.150173925343238</v>
      </c>
      <c r="G199" s="333">
        <f>'ERR &amp; Sensitivity Analysis'!$D$13</f>
        <v>84</v>
      </c>
      <c r="H199" s="332">
        <f>'ERR &amp; Sensitivity Analysis'!$D$14</f>
        <v>0.1</v>
      </c>
      <c r="I199" s="273">
        <f t="shared" si="16"/>
        <v>5.3616004848</v>
      </c>
      <c r="J199" s="272">
        <f t="shared" si="17"/>
        <v>-39.95367685226569</v>
      </c>
      <c r="K199" s="272">
        <f t="shared" si="18"/>
        <v>-55.93514307361242</v>
      </c>
      <c r="L199" s="272">
        <f t="shared" si="19"/>
        <v>5.3616004848</v>
      </c>
      <c r="M199" s="274">
        <f t="shared" si="20"/>
        <v>10.619865736546735</v>
      </c>
    </row>
    <row r="200" spans="2:13" ht="12.75">
      <c r="B200" s="271">
        <v>6.384</v>
      </c>
      <c r="C200" s="272">
        <v>0.9398497</v>
      </c>
      <c r="D200" s="272">
        <v>0.9398497</v>
      </c>
      <c r="E200" s="273">
        <f t="shared" si="14"/>
        <v>5.94436352583971</v>
      </c>
      <c r="F200" s="273">
        <f t="shared" si="15"/>
        <v>-1.150173925343238</v>
      </c>
      <c r="G200" s="333">
        <f>'ERR &amp; Sensitivity Analysis'!$D$13</f>
        <v>84</v>
      </c>
      <c r="H200" s="332">
        <f>'ERR &amp; Sensitivity Analysis'!$D$14</f>
        <v>0.1</v>
      </c>
      <c r="I200" s="273">
        <f t="shared" si="16"/>
        <v>5.3616004848</v>
      </c>
      <c r="J200" s="272">
        <f t="shared" si="17"/>
        <v>-39.95367685226569</v>
      </c>
      <c r="K200" s="272">
        <f t="shared" si="18"/>
        <v>-55.93514307361242</v>
      </c>
      <c r="L200" s="272">
        <f t="shared" si="19"/>
        <v>5.3616004848</v>
      </c>
      <c r="M200" s="274">
        <f t="shared" si="20"/>
        <v>10.619865736546735</v>
      </c>
    </row>
    <row r="201" spans="2:13" ht="12.75">
      <c r="B201" s="271">
        <v>12.768</v>
      </c>
      <c r="C201" s="272">
        <v>0.9398497</v>
      </c>
      <c r="D201" s="272">
        <v>0.9398497</v>
      </c>
      <c r="E201" s="273">
        <f t="shared" si="14"/>
        <v>12.119093502794833</v>
      </c>
      <c r="F201" s="273">
        <f t="shared" si="15"/>
        <v>-0.8408091498502118</v>
      </c>
      <c r="G201" s="333">
        <f>'ERR &amp; Sensitivity Analysis'!$D$13</f>
        <v>84</v>
      </c>
      <c r="H201" s="332">
        <f>'ERR &amp; Sensitivity Analysis'!$D$14</f>
        <v>0.1</v>
      </c>
      <c r="I201" s="273">
        <f t="shared" si="16"/>
        <v>10.7232009696</v>
      </c>
      <c r="J201" s="272">
        <f t="shared" si="17"/>
        <v>75.38122296795817</v>
      </c>
      <c r="K201" s="272">
        <f t="shared" si="18"/>
        <v>52.766851814009094</v>
      </c>
      <c r="L201" s="272">
        <f t="shared" si="19"/>
        <v>10.7232009696</v>
      </c>
      <c r="M201" s="274">
        <f t="shared" si="20"/>
        <v>11.891170184349072</v>
      </c>
    </row>
    <row r="202" spans="2:13" ht="12.75">
      <c r="B202" s="271">
        <v>12.768</v>
      </c>
      <c r="C202" s="272">
        <v>0.9398497</v>
      </c>
      <c r="D202" s="272">
        <v>0.9398497</v>
      </c>
      <c r="E202" s="273">
        <f t="shared" si="14"/>
        <v>12.119093502794833</v>
      </c>
      <c r="F202" s="273">
        <f t="shared" si="15"/>
        <v>-0.8408091498502118</v>
      </c>
      <c r="G202" s="333">
        <f>'ERR &amp; Sensitivity Analysis'!$D$13</f>
        <v>84</v>
      </c>
      <c r="H202" s="332">
        <f>'ERR &amp; Sensitivity Analysis'!$D$14</f>
        <v>0.1</v>
      </c>
      <c r="I202" s="273">
        <f t="shared" si="16"/>
        <v>10.7232009696</v>
      </c>
      <c r="J202" s="272">
        <f t="shared" si="17"/>
        <v>75.38122296795817</v>
      </c>
      <c r="K202" s="272">
        <f t="shared" si="18"/>
        <v>52.766851814009094</v>
      </c>
      <c r="L202" s="272">
        <f t="shared" si="19"/>
        <v>10.7232009696</v>
      </c>
      <c r="M202" s="274">
        <f t="shared" si="20"/>
        <v>11.891170184349072</v>
      </c>
    </row>
    <row r="203" spans="2:13" ht="12.75">
      <c r="B203" s="271">
        <v>12.768</v>
      </c>
      <c r="C203" s="272">
        <v>0.9398497</v>
      </c>
      <c r="D203" s="272">
        <v>0.9398497</v>
      </c>
      <c r="E203" s="273">
        <f t="shared" si="14"/>
        <v>12.119093502794833</v>
      </c>
      <c r="F203" s="273">
        <f t="shared" si="15"/>
        <v>-0.8408091498502118</v>
      </c>
      <c r="G203" s="333">
        <f>'ERR &amp; Sensitivity Analysis'!$D$13</f>
        <v>84</v>
      </c>
      <c r="H203" s="332">
        <f>'ERR &amp; Sensitivity Analysis'!$D$14</f>
        <v>0.1</v>
      </c>
      <c r="I203" s="273">
        <f t="shared" si="16"/>
        <v>10.7232009696</v>
      </c>
      <c r="J203" s="272">
        <f t="shared" si="17"/>
        <v>75.38122296795817</v>
      </c>
      <c r="K203" s="272">
        <f t="shared" si="18"/>
        <v>52.766851814009094</v>
      </c>
      <c r="L203" s="272">
        <f t="shared" si="19"/>
        <v>10.7232009696</v>
      </c>
      <c r="M203" s="274">
        <f t="shared" si="20"/>
        <v>11.891170184349072</v>
      </c>
    </row>
    <row r="204" spans="2:13" ht="12.75">
      <c r="B204" s="271">
        <v>12.6</v>
      </c>
      <c r="C204" s="272">
        <v>0.9523809</v>
      </c>
      <c r="D204" s="272">
        <v>0.9523809</v>
      </c>
      <c r="E204" s="273">
        <f t="shared" si="14"/>
        <v>12.093013673574394</v>
      </c>
      <c r="F204" s="273">
        <f t="shared" si="15"/>
        <v>-0.841744742131982</v>
      </c>
      <c r="G204" s="333">
        <f>'ERR &amp; Sensitivity Analysis'!$D$13</f>
        <v>84</v>
      </c>
      <c r="H204" s="332">
        <f>'ERR &amp; Sensitivity Analysis'!$D$14</f>
        <v>0.1</v>
      </c>
      <c r="I204" s="273">
        <f t="shared" si="16"/>
        <v>10.739999339999999</v>
      </c>
      <c r="J204" s="272">
        <f t="shared" si="17"/>
        <v>75.82686036256554</v>
      </c>
      <c r="K204" s="272">
        <f t="shared" si="18"/>
        <v>53.07880517313015</v>
      </c>
      <c r="L204" s="272">
        <f t="shared" si="19"/>
        <v>10.739999339999999</v>
      </c>
      <c r="M204" s="274">
        <f t="shared" si="20"/>
        <v>12.008055849435392</v>
      </c>
    </row>
    <row r="205" spans="2:13" ht="12.75">
      <c r="B205" s="271">
        <v>13.44</v>
      </c>
      <c r="C205" s="272">
        <v>0.9866072</v>
      </c>
      <c r="D205" s="272">
        <v>0.9866072</v>
      </c>
      <c r="E205" s="273">
        <f t="shared" si="14"/>
        <v>13.29570490700507</v>
      </c>
      <c r="F205" s="273">
        <f t="shared" si="15"/>
        <v>-0.8005679185118532</v>
      </c>
      <c r="G205" s="333">
        <f>'ERR &amp; Sensitivity Analysis'!$D$13</f>
        <v>84</v>
      </c>
      <c r="H205" s="332">
        <f>'ERR &amp; Sensitivity Analysis'!$D$14</f>
        <v>0.1</v>
      </c>
      <c r="I205" s="273">
        <f t="shared" si="16"/>
        <v>11.916000768</v>
      </c>
      <c r="J205" s="272">
        <f t="shared" si="17"/>
        <v>66.48880495582704</v>
      </c>
      <c r="K205" s="272">
        <f t="shared" si="18"/>
        <v>42.11960250988632</v>
      </c>
      <c r="L205" s="272">
        <f t="shared" si="19"/>
        <v>11.916000768</v>
      </c>
      <c r="M205" s="274">
        <f t="shared" si="20"/>
        <v>12.453201677940715</v>
      </c>
    </row>
    <row r="206" spans="2:13" ht="12.75">
      <c r="B206" s="271">
        <v>5.46</v>
      </c>
      <c r="C206" s="272">
        <v>0.989011</v>
      </c>
      <c r="D206" s="272">
        <v>0.989011</v>
      </c>
      <c r="E206" s="273">
        <f t="shared" si="14"/>
        <v>5.38850746872487</v>
      </c>
      <c r="F206" s="273">
        <f t="shared" si="15"/>
        <v>-1.1928107969157506</v>
      </c>
      <c r="G206" s="333">
        <f>'ERR &amp; Sensitivity Analysis'!$D$13</f>
        <v>84</v>
      </c>
      <c r="H206" s="332">
        <f>'ERR &amp; Sensitivity Analysis'!$D$14</f>
        <v>0.1</v>
      </c>
      <c r="I206" s="273">
        <f t="shared" si="16"/>
        <v>4.85400006</v>
      </c>
      <c r="J206" s="272">
        <f t="shared" si="17"/>
        <v>-28.006730672658065</v>
      </c>
      <c r="K206" s="272">
        <f t="shared" si="18"/>
        <v>-43.56602500673449</v>
      </c>
      <c r="L206" s="272">
        <f t="shared" si="19"/>
        <v>4.85400006</v>
      </c>
      <c r="M206" s="274">
        <f t="shared" si="20"/>
        <v>10.705294274076426</v>
      </c>
    </row>
    <row r="207" spans="2:13" ht="12.75">
      <c r="B207" s="271">
        <v>9.912</v>
      </c>
      <c r="C207" s="272">
        <v>1.008878</v>
      </c>
      <c r="D207" s="272">
        <v>1.008878</v>
      </c>
      <c r="E207" s="273">
        <f t="shared" si="14"/>
        <v>9.993333737608964</v>
      </c>
      <c r="F207" s="273">
        <f t="shared" si="15"/>
        <v>-0.9245688947001035</v>
      </c>
      <c r="G207" s="333">
        <f>'ERR &amp; Sensitivity Analysis'!$D$13</f>
        <v>84</v>
      </c>
      <c r="H207" s="332">
        <f>'ERR &amp; Sensitivity Analysis'!$D$14</f>
        <v>0.1</v>
      </c>
      <c r="I207" s="273">
        <f t="shared" si="16"/>
        <v>9.008798736000001</v>
      </c>
      <c r="J207" s="272">
        <f t="shared" si="17"/>
        <v>132.57128735211205</v>
      </c>
      <c r="K207" s="272">
        <f t="shared" si="18"/>
        <v>111.35989545166493</v>
      </c>
      <c r="L207" s="272">
        <f t="shared" si="19"/>
        <v>9.008798736000001</v>
      </c>
      <c r="M207" s="274">
        <f t="shared" si="20"/>
        <v>12.202593164447125</v>
      </c>
    </row>
    <row r="208" spans="2:13" ht="12.75">
      <c r="B208" s="271">
        <v>4.788</v>
      </c>
      <c r="C208" s="272">
        <v>1.044277</v>
      </c>
      <c r="D208" s="272">
        <v>1.044277</v>
      </c>
      <c r="E208" s="273">
        <f t="shared" si="14"/>
        <v>5.048134514544837</v>
      </c>
      <c r="F208" s="273">
        <f t="shared" si="15"/>
        <v>-1.2211483672928751</v>
      </c>
      <c r="G208" s="333">
        <f>'ERR &amp; Sensitivity Analysis'!$D$13</f>
        <v>84</v>
      </c>
      <c r="H208" s="332">
        <f>'ERR &amp; Sensitivity Analysis'!$D$14</f>
        <v>0.1</v>
      </c>
      <c r="I208" s="273">
        <f t="shared" si="16"/>
        <v>4.521198276</v>
      </c>
      <c r="J208" s="272">
        <f t="shared" si="17"/>
        <v>-22.609247977753835</v>
      </c>
      <c r="K208" s="272">
        <f t="shared" si="18"/>
        <v>-37.983549699354406</v>
      </c>
      <c r="L208" s="272">
        <f t="shared" si="19"/>
        <v>4.521198276</v>
      </c>
      <c r="M208" s="274">
        <f t="shared" si="20"/>
        <v>10.85310344560057</v>
      </c>
    </row>
    <row r="209" spans="2:13" ht="12.75">
      <c r="B209" s="271">
        <v>9.576</v>
      </c>
      <c r="C209" s="272">
        <v>1.044277</v>
      </c>
      <c r="D209" s="272">
        <v>1.044277</v>
      </c>
      <c r="E209" s="273">
        <f t="shared" si="14"/>
        <v>9.967848445512516</v>
      </c>
      <c r="F209" s="273">
        <f t="shared" si="15"/>
        <v>-0.9256778598545311</v>
      </c>
      <c r="G209" s="333">
        <f>'ERR &amp; Sensitivity Analysis'!$D$13</f>
        <v>84</v>
      </c>
      <c r="H209" s="332">
        <f>'ERR &amp; Sensitivity Analysis'!$D$14</f>
        <v>0.1</v>
      </c>
      <c r="I209" s="273">
        <f t="shared" si="16"/>
        <v>9.042396552</v>
      </c>
      <c r="J209" s="272">
        <f t="shared" si="17"/>
        <v>134.54936217427613</v>
      </c>
      <c r="K209" s="272">
        <f t="shared" si="18"/>
        <v>113.02150319620628</v>
      </c>
      <c r="L209" s="272">
        <f t="shared" si="19"/>
        <v>9.042396552</v>
      </c>
      <c r="M209" s="274">
        <f t="shared" si="20"/>
        <v>12.485462426069844</v>
      </c>
    </row>
    <row r="210" spans="2:13" ht="12.75">
      <c r="B210" s="271">
        <v>9.576</v>
      </c>
      <c r="C210" s="272">
        <v>1.044277</v>
      </c>
      <c r="D210" s="272">
        <v>1.044277</v>
      </c>
      <c r="E210" s="273">
        <f t="shared" si="14"/>
        <v>9.967848445512516</v>
      </c>
      <c r="F210" s="273">
        <f t="shared" si="15"/>
        <v>-0.9256778598545311</v>
      </c>
      <c r="G210" s="333">
        <f>'ERR &amp; Sensitivity Analysis'!$D$13</f>
        <v>84</v>
      </c>
      <c r="H210" s="332">
        <f>'ERR &amp; Sensitivity Analysis'!$D$14</f>
        <v>0.1</v>
      </c>
      <c r="I210" s="273">
        <f t="shared" si="16"/>
        <v>9.042396552</v>
      </c>
      <c r="J210" s="272">
        <f t="shared" si="17"/>
        <v>134.54936217427613</v>
      </c>
      <c r="K210" s="272">
        <f t="shared" si="18"/>
        <v>113.02150319620628</v>
      </c>
      <c r="L210" s="272">
        <f t="shared" si="19"/>
        <v>9.042396552</v>
      </c>
      <c r="M210" s="274">
        <f t="shared" si="20"/>
        <v>12.485462426069844</v>
      </c>
    </row>
    <row r="211" spans="2:13" ht="12.75">
      <c r="B211" s="271">
        <v>3.696</v>
      </c>
      <c r="C211" s="272">
        <v>1.082251</v>
      </c>
      <c r="D211" s="272">
        <v>1.082251</v>
      </c>
      <c r="E211" s="273">
        <f t="shared" si="14"/>
        <v>4.099718117220522</v>
      </c>
      <c r="F211" s="273">
        <f t="shared" si="15"/>
        <v>-1.3115252889382858</v>
      </c>
      <c r="G211" s="333">
        <f>'ERR &amp; Sensitivity Analysis'!$D$13</f>
        <v>84</v>
      </c>
      <c r="H211" s="332">
        <f>'ERR &amp; Sensitivity Analysis'!$D$14</f>
        <v>0.1</v>
      </c>
      <c r="I211" s="273">
        <f t="shared" si="16"/>
        <v>3.6303996960000005</v>
      </c>
      <c r="J211" s="272">
        <f t="shared" si="17"/>
        <v>-12.840048105347924</v>
      </c>
      <c r="K211" s="272">
        <f t="shared" si="18"/>
        <v>-26.964103070502475</v>
      </c>
      <c r="L211" s="272">
        <f t="shared" si="19"/>
        <v>3.6303996960000005</v>
      </c>
      <c r="M211" s="274">
        <f t="shared" si="20"/>
        <v>10.493655269154551</v>
      </c>
    </row>
    <row r="212" spans="2:13" ht="12.75">
      <c r="B212" s="271">
        <v>6.384</v>
      </c>
      <c r="C212" s="272">
        <v>1.112155</v>
      </c>
      <c r="D212" s="272">
        <v>1.112155</v>
      </c>
      <c r="E212" s="273">
        <f aca="true" t="shared" si="21" ref="E212:E275">B212/(D212^F212)</f>
        <v>7.1528724552850775</v>
      </c>
      <c r="F212" s="273">
        <f aca="true" t="shared" si="22" ref="F212:F275">LN(B212/G212)/LN(D212/H212)</f>
        <v>-1.0697988049654086</v>
      </c>
      <c r="G212" s="333">
        <f>'ERR &amp; Sensitivity Analysis'!$D$13</f>
        <v>84</v>
      </c>
      <c r="H212" s="332">
        <f>'ERR &amp; Sensitivity Analysis'!$D$14</f>
        <v>0.1</v>
      </c>
      <c r="I212" s="273">
        <f aca="true" t="shared" si="23" ref="I212:I275">IF((D212-H212)*B212&gt;0,(D212-H212)*B212,0)</f>
        <v>6.46159752</v>
      </c>
      <c r="J212" s="272">
        <f aca="true" t="shared" si="24" ref="J212:J275">(E212*(D212^(F212+1)))/(F212+1)</f>
        <v>-101.72090372490864</v>
      </c>
      <c r="K212" s="272">
        <f aca="true" t="shared" si="25" ref="K212:K275">(E212*(H212^(F212+1)))/(F212+1)</f>
        <v>-120.34589996437529</v>
      </c>
      <c r="L212" s="272">
        <f aca="true" t="shared" si="26" ref="L212:L275">(D212-H212)*B212</f>
        <v>6.46159752</v>
      </c>
      <c r="M212" s="274">
        <f aca="true" t="shared" si="27" ref="M212:M275">J212-K212-L212</f>
        <v>12.163398719466654</v>
      </c>
    </row>
    <row r="213" spans="2:13" ht="12.75">
      <c r="B213" s="271">
        <v>19.152</v>
      </c>
      <c r="C213" s="272">
        <v>1.122598</v>
      </c>
      <c r="D213" s="272">
        <v>1.122598</v>
      </c>
      <c r="E213" s="273">
        <f t="shared" si="21"/>
        <v>20.55508331547422</v>
      </c>
      <c r="F213" s="273">
        <f t="shared" si="22"/>
        <v>-0.6113600446255237</v>
      </c>
      <c r="G213" s="333">
        <f>'ERR &amp; Sensitivity Analysis'!$D$13</f>
        <v>84</v>
      </c>
      <c r="H213" s="332">
        <f>'ERR &amp; Sensitivity Analysis'!$D$14</f>
        <v>0.1</v>
      </c>
      <c r="I213" s="273">
        <f t="shared" si="23"/>
        <v>19.584796896</v>
      </c>
      <c r="J213" s="272">
        <f t="shared" si="24"/>
        <v>55.321118167800215</v>
      </c>
      <c r="K213" s="272">
        <f t="shared" si="25"/>
        <v>21.613835334831005</v>
      </c>
      <c r="L213" s="272">
        <f t="shared" si="26"/>
        <v>19.584796896</v>
      </c>
      <c r="M213" s="274">
        <f t="shared" si="27"/>
        <v>14.122485936969213</v>
      </c>
    </row>
    <row r="214" spans="2:13" ht="12.75">
      <c r="B214" s="271">
        <v>19.152</v>
      </c>
      <c r="C214" s="272">
        <v>1.148705</v>
      </c>
      <c r="D214" s="272">
        <v>1.148705</v>
      </c>
      <c r="E214" s="273">
        <f t="shared" si="21"/>
        <v>20.829390933855016</v>
      </c>
      <c r="F214" s="273">
        <f t="shared" si="22"/>
        <v>-0.6056027150067489</v>
      </c>
      <c r="G214" s="333">
        <f>'ERR &amp; Sensitivity Analysis'!$D$13</f>
        <v>84</v>
      </c>
      <c r="H214" s="332">
        <f>'ERR &amp; Sensitivity Analysis'!$D$14</f>
        <v>0.1</v>
      </c>
      <c r="I214" s="273">
        <f t="shared" si="23"/>
        <v>20.084798160000002</v>
      </c>
      <c r="J214" s="272">
        <f t="shared" si="24"/>
        <v>55.78131239005984</v>
      </c>
      <c r="K214" s="272">
        <f t="shared" si="25"/>
        <v>21.29832105751879</v>
      </c>
      <c r="L214" s="272">
        <f t="shared" si="26"/>
        <v>20.084798160000002</v>
      </c>
      <c r="M214" s="274">
        <f t="shared" si="27"/>
        <v>14.398193172541045</v>
      </c>
    </row>
    <row r="215" spans="2:13" ht="12.75">
      <c r="B215" s="271">
        <v>6.72</v>
      </c>
      <c r="C215" s="272">
        <v>1.148809</v>
      </c>
      <c r="D215" s="272">
        <v>1.148809</v>
      </c>
      <c r="E215" s="273">
        <f t="shared" si="21"/>
        <v>7.757118123894356</v>
      </c>
      <c r="F215" s="273">
        <f t="shared" si="22"/>
        <v>-1.034578881214976</v>
      </c>
      <c r="G215" s="333">
        <f>'ERR &amp; Sensitivity Analysis'!$D$13</f>
        <v>84</v>
      </c>
      <c r="H215" s="332">
        <f>'ERR &amp; Sensitivity Analysis'!$D$14</f>
        <v>0.1</v>
      </c>
      <c r="I215" s="273">
        <f t="shared" si="23"/>
        <v>7.047996479999999</v>
      </c>
      <c r="J215" s="272">
        <f t="shared" si="24"/>
        <v>-223.25755515353313</v>
      </c>
      <c r="K215" s="272">
        <f t="shared" si="25"/>
        <v>-242.92283916814412</v>
      </c>
      <c r="L215" s="272">
        <f t="shared" si="26"/>
        <v>7.047996479999999</v>
      </c>
      <c r="M215" s="274">
        <f t="shared" si="27"/>
        <v>12.617287534610991</v>
      </c>
    </row>
    <row r="216" spans="2:13" ht="12.75">
      <c r="B216" s="271">
        <v>26.88</v>
      </c>
      <c r="C216" s="272">
        <v>1.171875</v>
      </c>
      <c r="D216" s="272">
        <v>1.171875</v>
      </c>
      <c r="E216" s="273">
        <f t="shared" si="21"/>
        <v>28.928012323634483</v>
      </c>
      <c r="F216" s="273">
        <f t="shared" si="22"/>
        <v>-0.4629606922526012</v>
      </c>
      <c r="G216" s="333">
        <f>'ERR &amp; Sensitivity Analysis'!$D$13</f>
        <v>84</v>
      </c>
      <c r="H216" s="332">
        <f>'ERR &amp; Sensitivity Analysis'!$D$14</f>
        <v>0.1</v>
      </c>
      <c r="I216" s="273">
        <f t="shared" si="23"/>
        <v>28.811999999999998</v>
      </c>
      <c r="J216" s="272">
        <f t="shared" si="24"/>
        <v>58.65492440791001</v>
      </c>
      <c r="K216" s="272">
        <f t="shared" si="25"/>
        <v>15.641313175442674</v>
      </c>
      <c r="L216" s="272">
        <f t="shared" si="26"/>
        <v>28.811999999999998</v>
      </c>
      <c r="M216" s="274">
        <f t="shared" si="27"/>
        <v>14.201611232467336</v>
      </c>
    </row>
    <row r="217" spans="2:13" ht="12.75">
      <c r="B217" s="271">
        <v>19.152</v>
      </c>
      <c r="C217" s="272">
        <v>1.174812</v>
      </c>
      <c r="D217" s="272">
        <v>1.174812</v>
      </c>
      <c r="E217" s="273">
        <f t="shared" si="21"/>
        <v>21.096026330494553</v>
      </c>
      <c r="F217" s="273">
        <f t="shared" si="22"/>
        <v>-0.6000786272220218</v>
      </c>
      <c r="G217" s="333">
        <f>'ERR &amp; Sensitivity Analysis'!$D$13</f>
        <v>84</v>
      </c>
      <c r="H217" s="332">
        <f>'ERR &amp; Sensitivity Analysis'!$D$14</f>
        <v>0.1</v>
      </c>
      <c r="I217" s="273">
        <f t="shared" si="23"/>
        <v>20.584799424</v>
      </c>
      <c r="J217" s="272">
        <f t="shared" si="24"/>
        <v>56.26105768668479</v>
      </c>
      <c r="K217" s="272">
        <f t="shared" si="25"/>
        <v>21.004128740734686</v>
      </c>
      <c r="L217" s="272">
        <f t="shared" si="26"/>
        <v>20.584799424</v>
      </c>
      <c r="M217" s="274">
        <f t="shared" si="27"/>
        <v>14.672129521950101</v>
      </c>
    </row>
    <row r="218" spans="2:13" ht="12.75">
      <c r="B218" s="271">
        <v>6.384</v>
      </c>
      <c r="C218" s="272">
        <v>1.174812</v>
      </c>
      <c r="D218" s="272">
        <v>1.174812</v>
      </c>
      <c r="E218" s="273">
        <f t="shared" si="21"/>
        <v>7.5557880004944025</v>
      </c>
      <c r="F218" s="273">
        <f t="shared" si="22"/>
        <v>-1.0459995220300695</v>
      </c>
      <c r="G218" s="333">
        <f>'ERR &amp; Sensitivity Analysis'!$D$13</f>
        <v>84</v>
      </c>
      <c r="H218" s="332">
        <f>'ERR &amp; Sensitivity Analysis'!$D$14</f>
        <v>0.1</v>
      </c>
      <c r="I218" s="273">
        <f t="shared" si="23"/>
        <v>6.861599807999999</v>
      </c>
      <c r="J218" s="272">
        <f t="shared" si="24"/>
        <v>-163.0451682323419</v>
      </c>
      <c r="K218" s="272">
        <f t="shared" si="25"/>
        <v>-182.61059309505424</v>
      </c>
      <c r="L218" s="272">
        <f t="shared" si="26"/>
        <v>6.861599807999999</v>
      </c>
      <c r="M218" s="274">
        <f t="shared" si="27"/>
        <v>12.703825054712349</v>
      </c>
    </row>
    <row r="219" spans="2:13" ht="12.75">
      <c r="B219" s="271">
        <v>12.768</v>
      </c>
      <c r="C219" s="272">
        <v>1.174812</v>
      </c>
      <c r="D219" s="272">
        <v>1.174812</v>
      </c>
      <c r="E219" s="273">
        <f t="shared" si="21"/>
        <v>14.441906345478621</v>
      </c>
      <c r="F219" s="273">
        <f t="shared" si="22"/>
        <v>-0.7646547617564641</v>
      </c>
      <c r="G219" s="333">
        <f>'ERR &amp; Sensitivity Analysis'!$D$13</f>
        <v>84</v>
      </c>
      <c r="H219" s="332">
        <f>'ERR &amp; Sensitivity Analysis'!$D$14</f>
        <v>0.1</v>
      </c>
      <c r="I219" s="273">
        <f t="shared" si="23"/>
        <v>13.723199615999999</v>
      </c>
      <c r="J219" s="272">
        <f t="shared" si="24"/>
        <v>63.73615089028467</v>
      </c>
      <c r="K219" s="272">
        <f t="shared" si="25"/>
        <v>35.692245412280904</v>
      </c>
      <c r="L219" s="272">
        <f t="shared" si="26"/>
        <v>13.723199615999999</v>
      </c>
      <c r="M219" s="274">
        <f t="shared" si="27"/>
        <v>14.320705862003766</v>
      </c>
    </row>
    <row r="220" spans="2:13" ht="12.75">
      <c r="B220" s="271">
        <v>3.36</v>
      </c>
      <c r="C220" s="272">
        <v>1.190476</v>
      </c>
      <c r="D220" s="272">
        <v>1.190476</v>
      </c>
      <c r="E220" s="273">
        <f t="shared" si="21"/>
        <v>4.214452302871558</v>
      </c>
      <c r="F220" s="273">
        <f t="shared" si="22"/>
        <v>-1.299538142995749</v>
      </c>
      <c r="G220" s="333">
        <f>'ERR &amp; Sensitivity Analysis'!$D$13</f>
        <v>84</v>
      </c>
      <c r="H220" s="332">
        <f>'ERR &amp; Sensitivity Analysis'!$D$14</f>
        <v>0.1</v>
      </c>
      <c r="I220" s="273">
        <f t="shared" si="23"/>
        <v>3.66399936</v>
      </c>
      <c r="J220" s="272">
        <f t="shared" si="24"/>
        <v>-13.353889825165824</v>
      </c>
      <c r="K220" s="272">
        <f t="shared" si="25"/>
        <v>-28.043173119755917</v>
      </c>
      <c r="L220" s="272">
        <f t="shared" si="26"/>
        <v>3.66399936</v>
      </c>
      <c r="M220" s="274">
        <f t="shared" si="27"/>
        <v>11.025283934590092</v>
      </c>
    </row>
    <row r="221" spans="2:13" ht="12.75">
      <c r="B221" s="271">
        <v>3.36</v>
      </c>
      <c r="C221" s="272">
        <v>1.190476</v>
      </c>
      <c r="D221" s="272">
        <v>1.190476</v>
      </c>
      <c r="E221" s="273">
        <f t="shared" si="21"/>
        <v>4.214452302871558</v>
      </c>
      <c r="F221" s="273">
        <f t="shared" si="22"/>
        <v>-1.299538142995749</v>
      </c>
      <c r="G221" s="333">
        <f>'ERR &amp; Sensitivity Analysis'!$D$13</f>
        <v>84</v>
      </c>
      <c r="H221" s="332">
        <f>'ERR &amp; Sensitivity Analysis'!$D$14</f>
        <v>0.1</v>
      </c>
      <c r="I221" s="273">
        <f t="shared" si="23"/>
        <v>3.66399936</v>
      </c>
      <c r="J221" s="272">
        <f t="shared" si="24"/>
        <v>-13.353889825165824</v>
      </c>
      <c r="K221" s="272">
        <f t="shared" si="25"/>
        <v>-28.043173119755917</v>
      </c>
      <c r="L221" s="272">
        <f t="shared" si="26"/>
        <v>3.66399936</v>
      </c>
      <c r="M221" s="274">
        <f t="shared" si="27"/>
        <v>11.025283934590092</v>
      </c>
    </row>
    <row r="222" spans="2:13" ht="12.75">
      <c r="B222" s="271">
        <v>3.36</v>
      </c>
      <c r="C222" s="272">
        <v>1.190476</v>
      </c>
      <c r="D222" s="272">
        <v>1.190476</v>
      </c>
      <c r="E222" s="273">
        <f t="shared" si="21"/>
        <v>4.214452302871558</v>
      </c>
      <c r="F222" s="273">
        <f t="shared" si="22"/>
        <v>-1.299538142995749</v>
      </c>
      <c r="G222" s="333">
        <f>'ERR &amp; Sensitivity Analysis'!$D$13</f>
        <v>84</v>
      </c>
      <c r="H222" s="332">
        <f>'ERR &amp; Sensitivity Analysis'!$D$14</f>
        <v>0.1</v>
      </c>
      <c r="I222" s="273">
        <f t="shared" si="23"/>
        <v>3.66399936</v>
      </c>
      <c r="J222" s="272">
        <f t="shared" si="24"/>
        <v>-13.353889825165824</v>
      </c>
      <c r="K222" s="272">
        <f t="shared" si="25"/>
        <v>-28.043173119755917</v>
      </c>
      <c r="L222" s="272">
        <f t="shared" si="26"/>
        <v>3.66399936</v>
      </c>
      <c r="M222" s="274">
        <f t="shared" si="27"/>
        <v>11.025283934590092</v>
      </c>
    </row>
    <row r="223" spans="2:13" ht="12.75">
      <c r="B223" s="271">
        <v>6.72</v>
      </c>
      <c r="C223" s="272">
        <v>1.190476</v>
      </c>
      <c r="D223" s="272">
        <v>1.190476</v>
      </c>
      <c r="E223" s="273">
        <f t="shared" si="21"/>
        <v>8.02752099938479</v>
      </c>
      <c r="F223" s="273">
        <f t="shared" si="22"/>
        <v>-1.0196978357405002</v>
      </c>
      <c r="G223" s="333">
        <f>'ERR &amp; Sensitivity Analysis'!$D$13</f>
        <v>84</v>
      </c>
      <c r="H223" s="332">
        <f>'ERR &amp; Sensitivity Analysis'!$D$14</f>
        <v>0.1</v>
      </c>
      <c r="I223" s="273">
        <f t="shared" si="23"/>
        <v>7.32799872</v>
      </c>
      <c r="J223" s="272">
        <f t="shared" si="24"/>
        <v>-406.13592403714733</v>
      </c>
      <c r="K223" s="272">
        <f t="shared" si="25"/>
        <v>-426.4427884698508</v>
      </c>
      <c r="L223" s="272">
        <f t="shared" si="26"/>
        <v>7.32799872</v>
      </c>
      <c r="M223" s="274">
        <f t="shared" si="27"/>
        <v>12.978865712703492</v>
      </c>
    </row>
    <row r="224" spans="2:13" ht="12.75">
      <c r="B224" s="271">
        <v>6.72</v>
      </c>
      <c r="C224" s="272">
        <v>1.190476</v>
      </c>
      <c r="D224" s="272">
        <v>1.190476</v>
      </c>
      <c r="E224" s="273">
        <f t="shared" si="21"/>
        <v>8.02752099938479</v>
      </c>
      <c r="F224" s="273">
        <f t="shared" si="22"/>
        <v>-1.0196978357405002</v>
      </c>
      <c r="G224" s="333">
        <f>'ERR &amp; Sensitivity Analysis'!$D$13</f>
        <v>84</v>
      </c>
      <c r="H224" s="332">
        <f>'ERR &amp; Sensitivity Analysis'!$D$14</f>
        <v>0.1</v>
      </c>
      <c r="I224" s="273">
        <f t="shared" si="23"/>
        <v>7.32799872</v>
      </c>
      <c r="J224" s="272">
        <f t="shared" si="24"/>
        <v>-406.13592403714733</v>
      </c>
      <c r="K224" s="272">
        <f t="shared" si="25"/>
        <v>-426.4427884698508</v>
      </c>
      <c r="L224" s="272">
        <f t="shared" si="26"/>
        <v>7.32799872</v>
      </c>
      <c r="M224" s="274">
        <f t="shared" si="27"/>
        <v>12.978865712703492</v>
      </c>
    </row>
    <row r="225" spans="2:13" ht="12.75">
      <c r="B225" s="271">
        <v>1.652</v>
      </c>
      <c r="C225" s="272">
        <v>1.210654</v>
      </c>
      <c r="D225" s="272">
        <v>1.210654</v>
      </c>
      <c r="E225" s="273">
        <f t="shared" si="21"/>
        <v>2.2325742319538944</v>
      </c>
      <c r="F225" s="273">
        <f t="shared" si="22"/>
        <v>-1.5754733781913342</v>
      </c>
      <c r="G225" s="333">
        <f>'ERR &amp; Sensitivity Analysis'!$D$13</f>
        <v>84</v>
      </c>
      <c r="H225" s="332">
        <f>'ERR &amp; Sensitivity Analysis'!$D$14</f>
        <v>0.1</v>
      </c>
      <c r="I225" s="273">
        <f t="shared" si="23"/>
        <v>1.8348004079999995</v>
      </c>
      <c r="J225" s="272">
        <f t="shared" si="24"/>
        <v>-3.4754003986871433</v>
      </c>
      <c r="K225" s="272">
        <f t="shared" si="25"/>
        <v>-14.596678696763556</v>
      </c>
      <c r="L225" s="272">
        <f t="shared" si="26"/>
        <v>1.8348004079999995</v>
      </c>
      <c r="M225" s="274">
        <f t="shared" si="27"/>
        <v>9.286477890076412</v>
      </c>
    </row>
    <row r="226" spans="2:13" ht="12.75">
      <c r="B226" s="271">
        <v>1.652</v>
      </c>
      <c r="C226" s="272">
        <v>1.210654</v>
      </c>
      <c r="D226" s="272">
        <v>1.210654</v>
      </c>
      <c r="E226" s="273">
        <f t="shared" si="21"/>
        <v>2.2325742319538944</v>
      </c>
      <c r="F226" s="273">
        <f t="shared" si="22"/>
        <v>-1.5754733781913342</v>
      </c>
      <c r="G226" s="333">
        <f>'ERR &amp; Sensitivity Analysis'!$D$13</f>
        <v>84</v>
      </c>
      <c r="H226" s="332">
        <f>'ERR &amp; Sensitivity Analysis'!$D$14</f>
        <v>0.1</v>
      </c>
      <c r="I226" s="273">
        <f t="shared" si="23"/>
        <v>1.8348004079999995</v>
      </c>
      <c r="J226" s="272">
        <f t="shared" si="24"/>
        <v>-3.4754003986871433</v>
      </c>
      <c r="K226" s="272">
        <f t="shared" si="25"/>
        <v>-14.596678696763556</v>
      </c>
      <c r="L226" s="272">
        <f t="shared" si="26"/>
        <v>1.8348004079999995</v>
      </c>
      <c r="M226" s="274">
        <f t="shared" si="27"/>
        <v>9.286477890076412</v>
      </c>
    </row>
    <row r="227" spans="2:13" ht="12.75">
      <c r="B227" s="271">
        <v>6.608</v>
      </c>
      <c r="C227" s="272">
        <v>1.210654</v>
      </c>
      <c r="D227" s="272">
        <v>1.210654</v>
      </c>
      <c r="E227" s="273">
        <f t="shared" si="21"/>
        <v>8.029978025737234</v>
      </c>
      <c r="F227" s="273">
        <f t="shared" si="22"/>
        <v>-1.01956492924075</v>
      </c>
      <c r="G227" s="333">
        <f>'ERR &amp; Sensitivity Analysis'!$D$13</f>
        <v>84</v>
      </c>
      <c r="H227" s="332">
        <f>'ERR &amp; Sensitivity Analysis'!$D$14</f>
        <v>0.1</v>
      </c>
      <c r="I227" s="273">
        <f t="shared" si="23"/>
        <v>7.339201631999998</v>
      </c>
      <c r="J227" s="272">
        <f t="shared" si="24"/>
        <v>-408.8949943829856</v>
      </c>
      <c r="K227" s="272">
        <f t="shared" si="25"/>
        <v>-429.33965651684514</v>
      </c>
      <c r="L227" s="272">
        <f t="shared" si="26"/>
        <v>7.339201631999998</v>
      </c>
      <c r="M227" s="274">
        <f t="shared" si="27"/>
        <v>13.10546050185954</v>
      </c>
    </row>
    <row r="228" spans="2:13" ht="12.75">
      <c r="B228" s="271">
        <v>6.608</v>
      </c>
      <c r="C228" s="272">
        <v>1.210654</v>
      </c>
      <c r="D228" s="272">
        <v>1.210654</v>
      </c>
      <c r="E228" s="273">
        <f t="shared" si="21"/>
        <v>8.029978025737234</v>
      </c>
      <c r="F228" s="273">
        <f t="shared" si="22"/>
        <v>-1.01956492924075</v>
      </c>
      <c r="G228" s="333">
        <f>'ERR &amp; Sensitivity Analysis'!$D$13</f>
        <v>84</v>
      </c>
      <c r="H228" s="332">
        <f>'ERR &amp; Sensitivity Analysis'!$D$14</f>
        <v>0.1</v>
      </c>
      <c r="I228" s="273">
        <f t="shared" si="23"/>
        <v>7.339201631999998</v>
      </c>
      <c r="J228" s="272">
        <f t="shared" si="24"/>
        <v>-408.8949943829856</v>
      </c>
      <c r="K228" s="272">
        <f t="shared" si="25"/>
        <v>-429.33965651684514</v>
      </c>
      <c r="L228" s="272">
        <f t="shared" si="26"/>
        <v>7.339201631999998</v>
      </c>
      <c r="M228" s="274">
        <f t="shared" si="27"/>
        <v>13.10546050185954</v>
      </c>
    </row>
    <row r="229" spans="2:13" ht="12.75">
      <c r="B229" s="271">
        <v>4.104</v>
      </c>
      <c r="C229" s="272">
        <v>1.218324</v>
      </c>
      <c r="D229" s="272">
        <v>1.218324</v>
      </c>
      <c r="E229" s="273">
        <f t="shared" si="21"/>
        <v>5.209151487261506</v>
      </c>
      <c r="F229" s="273">
        <f t="shared" si="22"/>
        <v>-1.2075122987337876</v>
      </c>
      <c r="G229" s="333">
        <f>'ERR &amp; Sensitivity Analysis'!$D$13</f>
        <v>84</v>
      </c>
      <c r="H229" s="332">
        <f>'ERR &amp; Sensitivity Analysis'!$D$14</f>
        <v>0.1</v>
      </c>
      <c r="I229" s="273">
        <f t="shared" si="23"/>
        <v>4.589601696</v>
      </c>
      <c r="J229" s="272">
        <f t="shared" si="24"/>
        <v>-24.09496558280807</v>
      </c>
      <c r="K229" s="272">
        <f t="shared" si="25"/>
        <v>-40.47952844846149</v>
      </c>
      <c r="L229" s="272">
        <f t="shared" si="26"/>
        <v>4.589601696</v>
      </c>
      <c r="M229" s="274">
        <f t="shared" si="27"/>
        <v>11.79496116965342</v>
      </c>
    </row>
    <row r="230" spans="2:13" ht="12.75">
      <c r="B230" s="271">
        <v>19.152</v>
      </c>
      <c r="C230" s="272">
        <v>1.227026</v>
      </c>
      <c r="D230" s="272">
        <v>1.227026</v>
      </c>
      <c r="E230" s="273">
        <f t="shared" si="21"/>
        <v>21.60770262696799</v>
      </c>
      <c r="F230" s="273">
        <f t="shared" si="22"/>
        <v>-0.5896706917593639</v>
      </c>
      <c r="G230" s="333">
        <f>'ERR &amp; Sensitivity Analysis'!$D$13</f>
        <v>84</v>
      </c>
      <c r="H230" s="332">
        <f>'ERR &amp; Sensitivity Analysis'!$D$14</f>
        <v>0.1</v>
      </c>
      <c r="I230" s="273">
        <f t="shared" si="23"/>
        <v>21.584801952</v>
      </c>
      <c r="J230" s="272">
        <f t="shared" si="24"/>
        <v>57.27107832672413</v>
      </c>
      <c r="K230" s="272">
        <f t="shared" si="25"/>
        <v>20.47136246742057</v>
      </c>
      <c r="L230" s="272">
        <f t="shared" si="26"/>
        <v>21.584801952</v>
      </c>
      <c r="M230" s="274">
        <f t="shared" si="27"/>
        <v>15.214913907303561</v>
      </c>
    </row>
    <row r="231" spans="2:13" ht="12.75">
      <c r="B231" s="271">
        <v>25.536</v>
      </c>
      <c r="C231" s="272">
        <v>1.233553</v>
      </c>
      <c r="D231" s="272">
        <v>1.233553</v>
      </c>
      <c r="E231" s="273">
        <f t="shared" si="21"/>
        <v>28.20686309172441</v>
      </c>
      <c r="F231" s="273">
        <f t="shared" si="22"/>
        <v>-0.4739244954650087</v>
      </c>
      <c r="G231" s="333">
        <f>'ERR &amp; Sensitivity Analysis'!$D$13</f>
        <v>84</v>
      </c>
      <c r="H231" s="332">
        <f>'ERR &amp; Sensitivity Analysis'!$D$14</f>
        <v>0.1</v>
      </c>
      <c r="I231" s="273">
        <f t="shared" si="23"/>
        <v>28.946409407999997</v>
      </c>
      <c r="J231" s="272">
        <f t="shared" si="24"/>
        <v>59.877354365403285</v>
      </c>
      <c r="K231" s="272">
        <f t="shared" si="25"/>
        <v>15.96728972854368</v>
      </c>
      <c r="L231" s="272">
        <f t="shared" si="26"/>
        <v>28.946409407999997</v>
      </c>
      <c r="M231" s="274">
        <f t="shared" si="27"/>
        <v>14.963655228859604</v>
      </c>
    </row>
    <row r="232" spans="2:13" ht="12.75">
      <c r="B232" s="271">
        <v>19.824</v>
      </c>
      <c r="C232" s="272">
        <v>1.235876</v>
      </c>
      <c r="D232" s="272">
        <v>1.235876</v>
      </c>
      <c r="E232" s="273">
        <f t="shared" si="21"/>
        <v>22.38771027655154</v>
      </c>
      <c r="F232" s="273">
        <f t="shared" si="22"/>
        <v>-0.5742696080750501</v>
      </c>
      <c r="G232" s="333">
        <f>'ERR &amp; Sensitivity Analysis'!$D$13</f>
        <v>84</v>
      </c>
      <c r="H232" s="332">
        <f>'ERR &amp; Sensitivity Analysis'!$D$14</f>
        <v>0.1</v>
      </c>
      <c r="I232" s="273">
        <f t="shared" si="23"/>
        <v>22.517605824</v>
      </c>
      <c r="J232" s="272">
        <f t="shared" si="24"/>
        <v>57.54817200910335</v>
      </c>
      <c r="K232" s="272">
        <f t="shared" si="25"/>
        <v>19.730797141400235</v>
      </c>
      <c r="L232" s="272">
        <f t="shared" si="26"/>
        <v>22.517605824</v>
      </c>
      <c r="M232" s="274">
        <f t="shared" si="27"/>
        <v>15.299769043703108</v>
      </c>
    </row>
    <row r="233" spans="2:13" ht="12.75">
      <c r="B233" s="271">
        <v>1.61</v>
      </c>
      <c r="C233" s="272">
        <v>1.242236</v>
      </c>
      <c r="D233" s="272">
        <v>1.242236</v>
      </c>
      <c r="E233" s="273">
        <f t="shared" si="21"/>
        <v>2.2630171359543954</v>
      </c>
      <c r="F233" s="273">
        <f t="shared" si="22"/>
        <v>-1.5695914435423015</v>
      </c>
      <c r="G233" s="333">
        <f>'ERR &amp; Sensitivity Analysis'!$D$13</f>
        <v>84</v>
      </c>
      <c r="H233" s="332">
        <f>'ERR &amp; Sensitivity Analysis'!$D$14</f>
        <v>0.1</v>
      </c>
      <c r="I233" s="273">
        <f t="shared" si="23"/>
        <v>1.8389999599999998</v>
      </c>
      <c r="J233" s="272">
        <f t="shared" si="24"/>
        <v>-3.5112886309561766</v>
      </c>
      <c r="K233" s="272">
        <f t="shared" si="25"/>
        <v>-14.7474125449642</v>
      </c>
      <c r="L233" s="272">
        <f t="shared" si="26"/>
        <v>1.8389999599999998</v>
      </c>
      <c r="M233" s="274">
        <f t="shared" si="27"/>
        <v>9.397123954008023</v>
      </c>
    </row>
    <row r="234" spans="2:13" ht="12.75">
      <c r="B234" s="271">
        <v>3.192</v>
      </c>
      <c r="C234" s="272">
        <v>1.253133</v>
      </c>
      <c r="D234" s="272">
        <v>1.253133</v>
      </c>
      <c r="E234" s="273">
        <f t="shared" si="21"/>
        <v>4.273841248387961</v>
      </c>
      <c r="F234" s="273">
        <f t="shared" si="22"/>
        <v>-1.2934608997802897</v>
      </c>
      <c r="G234" s="333">
        <f>'ERR &amp; Sensitivity Analysis'!$D$13</f>
        <v>84</v>
      </c>
      <c r="H234" s="332">
        <f>'ERR &amp; Sensitivity Analysis'!$D$14</f>
        <v>0.1</v>
      </c>
      <c r="I234" s="273">
        <f t="shared" si="23"/>
        <v>3.680800536</v>
      </c>
      <c r="J234" s="272">
        <f t="shared" si="24"/>
        <v>-13.630437782323805</v>
      </c>
      <c r="K234" s="272">
        <f t="shared" si="25"/>
        <v>-28.62391550727531</v>
      </c>
      <c r="L234" s="272">
        <f t="shared" si="26"/>
        <v>3.680800536</v>
      </c>
      <c r="M234" s="274">
        <f t="shared" si="27"/>
        <v>11.312677188951506</v>
      </c>
    </row>
    <row r="235" spans="2:13" ht="12.75">
      <c r="B235" s="271">
        <v>3.192</v>
      </c>
      <c r="C235" s="272">
        <v>1.253133</v>
      </c>
      <c r="D235" s="272">
        <v>1.253133</v>
      </c>
      <c r="E235" s="273">
        <f t="shared" si="21"/>
        <v>4.273841248387961</v>
      </c>
      <c r="F235" s="273">
        <f t="shared" si="22"/>
        <v>-1.2934608997802897</v>
      </c>
      <c r="G235" s="333">
        <f>'ERR &amp; Sensitivity Analysis'!$D$13</f>
        <v>84</v>
      </c>
      <c r="H235" s="332">
        <f>'ERR &amp; Sensitivity Analysis'!$D$14</f>
        <v>0.1</v>
      </c>
      <c r="I235" s="273">
        <f t="shared" si="23"/>
        <v>3.680800536</v>
      </c>
      <c r="J235" s="272">
        <f t="shared" si="24"/>
        <v>-13.630437782323805</v>
      </c>
      <c r="K235" s="272">
        <f t="shared" si="25"/>
        <v>-28.62391550727531</v>
      </c>
      <c r="L235" s="272">
        <f t="shared" si="26"/>
        <v>3.680800536</v>
      </c>
      <c r="M235" s="274">
        <f t="shared" si="27"/>
        <v>11.312677188951506</v>
      </c>
    </row>
    <row r="236" spans="2:13" ht="12.75">
      <c r="B236" s="271">
        <v>3.192</v>
      </c>
      <c r="C236" s="272">
        <v>1.253133</v>
      </c>
      <c r="D236" s="272">
        <v>1.253133</v>
      </c>
      <c r="E236" s="273">
        <f t="shared" si="21"/>
        <v>4.273841248387961</v>
      </c>
      <c r="F236" s="273">
        <f t="shared" si="22"/>
        <v>-1.2934608997802897</v>
      </c>
      <c r="G236" s="333">
        <f>'ERR &amp; Sensitivity Analysis'!$D$13</f>
        <v>84</v>
      </c>
      <c r="H236" s="332">
        <f>'ERR &amp; Sensitivity Analysis'!$D$14</f>
        <v>0.1</v>
      </c>
      <c r="I236" s="273">
        <f t="shared" si="23"/>
        <v>3.680800536</v>
      </c>
      <c r="J236" s="272">
        <f t="shared" si="24"/>
        <v>-13.630437782323805</v>
      </c>
      <c r="K236" s="272">
        <f t="shared" si="25"/>
        <v>-28.62391550727531</v>
      </c>
      <c r="L236" s="272">
        <f t="shared" si="26"/>
        <v>3.680800536</v>
      </c>
      <c r="M236" s="274">
        <f t="shared" si="27"/>
        <v>11.312677188951506</v>
      </c>
    </row>
    <row r="237" spans="2:13" ht="12.75">
      <c r="B237" s="271">
        <v>3.192</v>
      </c>
      <c r="C237" s="272">
        <v>1.253133</v>
      </c>
      <c r="D237" s="272">
        <v>1.253133</v>
      </c>
      <c r="E237" s="273">
        <f t="shared" si="21"/>
        <v>4.273841248387961</v>
      </c>
      <c r="F237" s="273">
        <f t="shared" si="22"/>
        <v>-1.2934608997802897</v>
      </c>
      <c r="G237" s="333">
        <f>'ERR &amp; Sensitivity Analysis'!$D$13</f>
        <v>84</v>
      </c>
      <c r="H237" s="332">
        <f>'ERR &amp; Sensitivity Analysis'!$D$14</f>
        <v>0.1</v>
      </c>
      <c r="I237" s="273">
        <f t="shared" si="23"/>
        <v>3.680800536</v>
      </c>
      <c r="J237" s="272">
        <f t="shared" si="24"/>
        <v>-13.630437782323805</v>
      </c>
      <c r="K237" s="272">
        <f t="shared" si="25"/>
        <v>-28.62391550727531</v>
      </c>
      <c r="L237" s="272">
        <f t="shared" si="26"/>
        <v>3.680800536</v>
      </c>
      <c r="M237" s="274">
        <f t="shared" si="27"/>
        <v>11.312677188951506</v>
      </c>
    </row>
    <row r="238" spans="2:13" ht="12.75">
      <c r="B238" s="271">
        <v>3.192</v>
      </c>
      <c r="C238" s="272">
        <v>1.253133</v>
      </c>
      <c r="D238" s="272">
        <v>1.253133</v>
      </c>
      <c r="E238" s="273">
        <f t="shared" si="21"/>
        <v>4.273841248387961</v>
      </c>
      <c r="F238" s="273">
        <f t="shared" si="22"/>
        <v>-1.2934608997802897</v>
      </c>
      <c r="G238" s="333">
        <f>'ERR &amp; Sensitivity Analysis'!$D$13</f>
        <v>84</v>
      </c>
      <c r="H238" s="332">
        <f>'ERR &amp; Sensitivity Analysis'!$D$14</f>
        <v>0.1</v>
      </c>
      <c r="I238" s="273">
        <f t="shared" si="23"/>
        <v>3.680800536</v>
      </c>
      <c r="J238" s="272">
        <f t="shared" si="24"/>
        <v>-13.630437782323805</v>
      </c>
      <c r="K238" s="272">
        <f t="shared" si="25"/>
        <v>-28.62391550727531</v>
      </c>
      <c r="L238" s="272">
        <f t="shared" si="26"/>
        <v>3.680800536</v>
      </c>
      <c r="M238" s="274">
        <f t="shared" si="27"/>
        <v>11.312677188951506</v>
      </c>
    </row>
    <row r="239" spans="2:13" ht="12.75">
      <c r="B239" s="271">
        <v>3.192</v>
      </c>
      <c r="C239" s="272">
        <v>1.253133</v>
      </c>
      <c r="D239" s="272">
        <v>1.253133</v>
      </c>
      <c r="E239" s="273">
        <f t="shared" si="21"/>
        <v>4.273841248387961</v>
      </c>
      <c r="F239" s="273">
        <f t="shared" si="22"/>
        <v>-1.2934608997802897</v>
      </c>
      <c r="G239" s="333">
        <f>'ERR &amp; Sensitivity Analysis'!$D$13</f>
        <v>84</v>
      </c>
      <c r="H239" s="332">
        <f>'ERR &amp; Sensitivity Analysis'!$D$14</f>
        <v>0.1</v>
      </c>
      <c r="I239" s="273">
        <f t="shared" si="23"/>
        <v>3.680800536</v>
      </c>
      <c r="J239" s="272">
        <f t="shared" si="24"/>
        <v>-13.630437782323805</v>
      </c>
      <c r="K239" s="272">
        <f t="shared" si="25"/>
        <v>-28.62391550727531</v>
      </c>
      <c r="L239" s="272">
        <f t="shared" si="26"/>
        <v>3.680800536</v>
      </c>
      <c r="M239" s="274">
        <f t="shared" si="27"/>
        <v>11.312677188951506</v>
      </c>
    </row>
    <row r="240" spans="2:13" ht="12.75">
      <c r="B240" s="271">
        <v>6.384</v>
      </c>
      <c r="C240" s="272">
        <v>1.253133</v>
      </c>
      <c r="D240" s="272">
        <v>1.253133</v>
      </c>
      <c r="E240" s="273">
        <f t="shared" si="21"/>
        <v>8.034913443834112</v>
      </c>
      <c r="F240" s="273">
        <f t="shared" si="22"/>
        <v>-1.0192980833779126</v>
      </c>
      <c r="G240" s="333">
        <f>'ERR &amp; Sensitivity Analysis'!$D$13</f>
        <v>84</v>
      </c>
      <c r="H240" s="332">
        <f>'ERR &amp; Sensitivity Analysis'!$D$14</f>
        <v>0.1</v>
      </c>
      <c r="I240" s="273">
        <f t="shared" si="23"/>
        <v>7.361601072</v>
      </c>
      <c r="J240" s="272">
        <f t="shared" si="24"/>
        <v>-414.54899511711636</v>
      </c>
      <c r="K240" s="272">
        <f t="shared" si="25"/>
        <v>-435.2763865459363</v>
      </c>
      <c r="L240" s="272">
        <f t="shared" si="26"/>
        <v>7.361601072</v>
      </c>
      <c r="M240" s="274">
        <f t="shared" si="27"/>
        <v>13.365790356819943</v>
      </c>
    </row>
    <row r="241" spans="2:13" ht="12.75">
      <c r="B241" s="271">
        <v>6.384</v>
      </c>
      <c r="C241" s="272">
        <v>1.253133</v>
      </c>
      <c r="D241" s="272">
        <v>1.253133</v>
      </c>
      <c r="E241" s="273">
        <f t="shared" si="21"/>
        <v>8.034913443834112</v>
      </c>
      <c r="F241" s="273">
        <f t="shared" si="22"/>
        <v>-1.0192980833779126</v>
      </c>
      <c r="G241" s="333">
        <f>'ERR &amp; Sensitivity Analysis'!$D$13</f>
        <v>84</v>
      </c>
      <c r="H241" s="332">
        <f>'ERR &amp; Sensitivity Analysis'!$D$14</f>
        <v>0.1</v>
      </c>
      <c r="I241" s="273">
        <f t="shared" si="23"/>
        <v>7.361601072</v>
      </c>
      <c r="J241" s="272">
        <f t="shared" si="24"/>
        <v>-414.54899511711636</v>
      </c>
      <c r="K241" s="272">
        <f t="shared" si="25"/>
        <v>-435.2763865459363</v>
      </c>
      <c r="L241" s="272">
        <f t="shared" si="26"/>
        <v>7.361601072</v>
      </c>
      <c r="M241" s="274">
        <f t="shared" si="27"/>
        <v>13.365790356819943</v>
      </c>
    </row>
    <row r="242" spans="2:13" ht="12.75">
      <c r="B242" s="271">
        <v>6.384</v>
      </c>
      <c r="C242" s="272">
        <v>1.253133</v>
      </c>
      <c r="D242" s="272">
        <v>1.253133</v>
      </c>
      <c r="E242" s="273">
        <f t="shared" si="21"/>
        <v>8.034913443834112</v>
      </c>
      <c r="F242" s="273">
        <f t="shared" si="22"/>
        <v>-1.0192980833779126</v>
      </c>
      <c r="G242" s="333">
        <f>'ERR &amp; Sensitivity Analysis'!$D$13</f>
        <v>84</v>
      </c>
      <c r="H242" s="332">
        <f>'ERR &amp; Sensitivity Analysis'!$D$14</f>
        <v>0.1</v>
      </c>
      <c r="I242" s="273">
        <f t="shared" si="23"/>
        <v>7.361601072</v>
      </c>
      <c r="J242" s="272">
        <f t="shared" si="24"/>
        <v>-414.54899511711636</v>
      </c>
      <c r="K242" s="272">
        <f t="shared" si="25"/>
        <v>-435.2763865459363</v>
      </c>
      <c r="L242" s="272">
        <f t="shared" si="26"/>
        <v>7.361601072</v>
      </c>
      <c r="M242" s="274">
        <f t="shared" si="27"/>
        <v>13.365790356819943</v>
      </c>
    </row>
    <row r="243" spans="2:13" ht="12.75">
      <c r="B243" s="271">
        <v>6.384</v>
      </c>
      <c r="C243" s="272">
        <v>1.253133</v>
      </c>
      <c r="D243" s="272">
        <v>1.253133</v>
      </c>
      <c r="E243" s="273">
        <f t="shared" si="21"/>
        <v>8.034913443834112</v>
      </c>
      <c r="F243" s="273">
        <f t="shared" si="22"/>
        <v>-1.0192980833779126</v>
      </c>
      <c r="G243" s="333">
        <f>'ERR &amp; Sensitivity Analysis'!$D$13</f>
        <v>84</v>
      </c>
      <c r="H243" s="332">
        <f>'ERR &amp; Sensitivity Analysis'!$D$14</f>
        <v>0.1</v>
      </c>
      <c r="I243" s="273">
        <f t="shared" si="23"/>
        <v>7.361601072</v>
      </c>
      <c r="J243" s="272">
        <f t="shared" si="24"/>
        <v>-414.54899511711636</v>
      </c>
      <c r="K243" s="272">
        <f t="shared" si="25"/>
        <v>-435.2763865459363</v>
      </c>
      <c r="L243" s="272">
        <f t="shared" si="26"/>
        <v>7.361601072</v>
      </c>
      <c r="M243" s="274">
        <f t="shared" si="27"/>
        <v>13.365790356819943</v>
      </c>
    </row>
    <row r="244" spans="2:13" ht="12.75">
      <c r="B244" s="271">
        <v>9.576</v>
      </c>
      <c r="C244" s="272">
        <v>1.253133</v>
      </c>
      <c r="D244" s="272">
        <v>1.253133</v>
      </c>
      <c r="E244" s="273">
        <f t="shared" si="21"/>
        <v>11.624015204852645</v>
      </c>
      <c r="F244" s="273">
        <f t="shared" si="22"/>
        <v>-0.8589231166904229</v>
      </c>
      <c r="G244" s="333">
        <f>'ERR &amp; Sensitivity Analysis'!$D$13</f>
        <v>84</v>
      </c>
      <c r="H244" s="332">
        <f>'ERR &amp; Sensitivity Analysis'!$D$14</f>
        <v>0.1</v>
      </c>
      <c r="I244" s="273">
        <f t="shared" si="23"/>
        <v>11.042401608</v>
      </c>
      <c r="J244" s="272">
        <f t="shared" si="24"/>
        <v>85.06001356485434</v>
      </c>
      <c r="K244" s="272">
        <f t="shared" si="25"/>
        <v>59.54200151676982</v>
      </c>
      <c r="L244" s="272">
        <f t="shared" si="26"/>
        <v>11.042401608</v>
      </c>
      <c r="M244" s="274">
        <f t="shared" si="27"/>
        <v>14.475610440084521</v>
      </c>
    </row>
    <row r="245" spans="2:13" ht="12.75">
      <c r="B245" s="271">
        <v>19.152</v>
      </c>
      <c r="C245" s="272">
        <v>1.253133</v>
      </c>
      <c r="D245" s="272">
        <v>1.253133</v>
      </c>
      <c r="E245" s="273">
        <f t="shared" si="21"/>
        <v>21.853398526683968</v>
      </c>
      <c r="F245" s="273">
        <f t="shared" si="22"/>
        <v>-0.5847603002880457</v>
      </c>
      <c r="G245" s="333">
        <f>'ERR &amp; Sensitivity Analysis'!$D$13</f>
        <v>84</v>
      </c>
      <c r="H245" s="332">
        <f>'ERR &amp; Sensitivity Analysis'!$D$14</f>
        <v>0.1</v>
      </c>
      <c r="I245" s="273">
        <f t="shared" si="23"/>
        <v>22.084803216</v>
      </c>
      <c r="J245" s="272">
        <f t="shared" si="24"/>
        <v>57.79794955214651</v>
      </c>
      <c r="K245" s="272">
        <f t="shared" si="25"/>
        <v>20.229279632527806</v>
      </c>
      <c r="L245" s="272">
        <f t="shared" si="26"/>
        <v>22.084803216</v>
      </c>
      <c r="M245" s="274">
        <f t="shared" si="27"/>
        <v>15.483866703618705</v>
      </c>
    </row>
    <row r="246" spans="2:13" ht="12.75">
      <c r="B246" s="271">
        <v>28.728</v>
      </c>
      <c r="C246" s="272">
        <v>1.253133</v>
      </c>
      <c r="D246" s="272">
        <v>1.253133</v>
      </c>
      <c r="E246" s="273">
        <f t="shared" si="21"/>
        <v>31.615055784678514</v>
      </c>
      <c r="F246" s="273">
        <f t="shared" si="22"/>
        <v>-0.42438533360055597</v>
      </c>
      <c r="G246" s="333">
        <f>'ERR &amp; Sensitivity Analysis'!$D$13</f>
        <v>84</v>
      </c>
      <c r="H246" s="332">
        <f>'ERR &amp; Sensitivity Analysis'!$D$14</f>
        <v>0.1</v>
      </c>
      <c r="I246" s="273">
        <f t="shared" si="23"/>
        <v>33.127204824</v>
      </c>
      <c r="J246" s="272">
        <f t="shared" si="24"/>
        <v>62.54184774197194</v>
      </c>
      <c r="K246" s="272">
        <f t="shared" si="25"/>
        <v>14.593095850985275</v>
      </c>
      <c r="L246" s="272">
        <f t="shared" si="26"/>
        <v>33.127204824</v>
      </c>
      <c r="M246" s="274">
        <f t="shared" si="27"/>
        <v>14.821547066986668</v>
      </c>
    </row>
    <row r="247" spans="2:13" ht="12.75">
      <c r="B247" s="271">
        <v>19.152</v>
      </c>
      <c r="C247" s="272">
        <v>1.266186</v>
      </c>
      <c r="D247" s="272">
        <v>1.266186</v>
      </c>
      <c r="E247" s="273">
        <f t="shared" si="21"/>
        <v>21.97383952200041</v>
      </c>
      <c r="F247" s="273">
        <f t="shared" si="22"/>
        <v>-0.5823733375834053</v>
      </c>
      <c r="G247" s="333">
        <f>'ERR &amp; Sensitivity Analysis'!$D$13</f>
        <v>84</v>
      </c>
      <c r="H247" s="332">
        <f>'ERR &amp; Sensitivity Analysis'!$D$14</f>
        <v>0.1</v>
      </c>
      <c r="I247" s="273">
        <f t="shared" si="23"/>
        <v>22.334794272</v>
      </c>
      <c r="J247" s="272">
        <f t="shared" si="24"/>
        <v>58.066202314951646</v>
      </c>
      <c r="K247" s="272">
        <f t="shared" si="25"/>
        <v>20.113658336355826</v>
      </c>
      <c r="L247" s="272">
        <f t="shared" si="26"/>
        <v>22.334794272</v>
      </c>
      <c r="M247" s="274">
        <f t="shared" si="27"/>
        <v>15.61774970659582</v>
      </c>
    </row>
    <row r="248" spans="2:13" ht="12.75">
      <c r="B248" s="271">
        <v>4.2</v>
      </c>
      <c r="C248" s="272">
        <v>1.266667</v>
      </c>
      <c r="D248" s="272">
        <v>1.266667</v>
      </c>
      <c r="E248" s="273">
        <f t="shared" si="21"/>
        <v>5.55111965523646</v>
      </c>
      <c r="F248" s="273">
        <f t="shared" si="22"/>
        <v>-1.1798986973448908</v>
      </c>
      <c r="G248" s="333">
        <f>'ERR &amp; Sensitivity Analysis'!$D$13</f>
        <v>84</v>
      </c>
      <c r="H248" s="332">
        <f>'ERR &amp; Sensitivity Analysis'!$D$14</f>
        <v>0.1</v>
      </c>
      <c r="I248" s="273">
        <f t="shared" si="23"/>
        <v>4.9000014</v>
      </c>
      <c r="J248" s="272">
        <f t="shared" si="24"/>
        <v>-29.572206350115017</v>
      </c>
      <c r="K248" s="272">
        <f t="shared" si="25"/>
        <v>-46.69294510730131</v>
      </c>
      <c r="L248" s="272">
        <f t="shared" si="26"/>
        <v>4.9000014</v>
      </c>
      <c r="M248" s="274">
        <f t="shared" si="27"/>
        <v>12.220737357186295</v>
      </c>
    </row>
    <row r="249" spans="2:13" ht="12.75">
      <c r="B249" s="271">
        <v>7.84</v>
      </c>
      <c r="C249" s="272">
        <v>1.27551</v>
      </c>
      <c r="D249" s="272">
        <v>1.27551</v>
      </c>
      <c r="E249" s="273">
        <f t="shared" si="21"/>
        <v>9.8347284507774</v>
      </c>
      <c r="F249" s="273">
        <f t="shared" si="22"/>
        <v>-0.931516913057879</v>
      </c>
      <c r="G249" s="333">
        <f>'ERR &amp; Sensitivity Analysis'!$D$13</f>
        <v>84</v>
      </c>
      <c r="H249" s="332">
        <f>'ERR &amp; Sensitivity Analysis'!$D$14</f>
        <v>0.1</v>
      </c>
      <c r="I249" s="273">
        <f t="shared" si="23"/>
        <v>9.215998399999998</v>
      </c>
      <c r="J249" s="272">
        <f t="shared" si="24"/>
        <v>146.02143166314292</v>
      </c>
      <c r="K249" s="272">
        <f t="shared" si="25"/>
        <v>122.65802222232362</v>
      </c>
      <c r="L249" s="272">
        <f t="shared" si="26"/>
        <v>9.215998399999998</v>
      </c>
      <c r="M249" s="274">
        <f t="shared" si="27"/>
        <v>14.147411040819298</v>
      </c>
    </row>
    <row r="250" spans="2:13" ht="12.75">
      <c r="B250" s="271">
        <v>15.68</v>
      </c>
      <c r="C250" s="272">
        <v>1.27551</v>
      </c>
      <c r="D250" s="272">
        <v>1.27551</v>
      </c>
      <c r="E250" s="273">
        <f t="shared" si="21"/>
        <v>18.408534373626875</v>
      </c>
      <c r="F250" s="273">
        <f t="shared" si="22"/>
        <v>-0.6592600732658653</v>
      </c>
      <c r="G250" s="333">
        <f>'ERR &amp; Sensitivity Analysis'!$D$13</f>
        <v>84</v>
      </c>
      <c r="H250" s="332">
        <f>'ERR &amp; Sensitivity Analysis'!$D$14</f>
        <v>0.1</v>
      </c>
      <c r="I250" s="273">
        <f t="shared" si="23"/>
        <v>18.431996799999997</v>
      </c>
      <c r="J250" s="272">
        <f t="shared" si="24"/>
        <v>58.69578300286826</v>
      </c>
      <c r="K250" s="272">
        <f t="shared" si="25"/>
        <v>24.652232805561923</v>
      </c>
      <c r="L250" s="272">
        <f t="shared" si="26"/>
        <v>18.431996799999997</v>
      </c>
      <c r="M250" s="274">
        <f t="shared" si="27"/>
        <v>15.611553397306341</v>
      </c>
    </row>
    <row r="251" spans="2:13" ht="12.75">
      <c r="B251" s="271">
        <v>5.6</v>
      </c>
      <c r="C251" s="272">
        <v>1.285714</v>
      </c>
      <c r="D251" s="272">
        <v>1.285714</v>
      </c>
      <c r="E251" s="273">
        <f t="shared" si="21"/>
        <v>7.310048344676323</v>
      </c>
      <c r="F251" s="273">
        <f t="shared" si="22"/>
        <v>-1.0603590369074785</v>
      </c>
      <c r="G251" s="333">
        <f>'ERR &amp; Sensitivity Analysis'!$D$13</f>
        <v>84</v>
      </c>
      <c r="H251" s="332">
        <f>'ERR &amp; Sensitivity Analysis'!$D$14</f>
        <v>0.1</v>
      </c>
      <c r="I251" s="273">
        <f t="shared" si="23"/>
        <v>6.6399984</v>
      </c>
      <c r="J251" s="272">
        <f t="shared" si="24"/>
        <v>-119.28617103411608</v>
      </c>
      <c r="K251" s="272">
        <f t="shared" si="25"/>
        <v>-139.16723046585338</v>
      </c>
      <c r="L251" s="272">
        <f t="shared" si="26"/>
        <v>6.6399984</v>
      </c>
      <c r="M251" s="274">
        <f t="shared" si="27"/>
        <v>13.2410610317373</v>
      </c>
    </row>
    <row r="252" spans="2:13" ht="12.75">
      <c r="B252" s="271">
        <v>13.216</v>
      </c>
      <c r="C252" s="272">
        <v>1.28632</v>
      </c>
      <c r="D252" s="272">
        <v>1.28632</v>
      </c>
      <c r="E252" s="273">
        <f t="shared" si="21"/>
        <v>15.858779595419549</v>
      </c>
      <c r="F252" s="273">
        <f t="shared" si="22"/>
        <v>-0.7240095227125776</v>
      </c>
      <c r="G252" s="333">
        <f>'ERR &amp; Sensitivity Analysis'!$D$13</f>
        <v>84</v>
      </c>
      <c r="H252" s="332">
        <f>'ERR &amp; Sensitivity Analysis'!$D$14</f>
        <v>0.1</v>
      </c>
      <c r="I252" s="273">
        <f t="shared" si="23"/>
        <v>15.678405119999997</v>
      </c>
      <c r="J252" s="272">
        <f t="shared" si="24"/>
        <v>61.59634668226551</v>
      </c>
      <c r="K252" s="272">
        <f t="shared" si="25"/>
        <v>30.435832723503925</v>
      </c>
      <c r="L252" s="272">
        <f t="shared" si="26"/>
        <v>15.678405119999997</v>
      </c>
      <c r="M252" s="274">
        <f t="shared" si="27"/>
        <v>15.48210883876159</v>
      </c>
    </row>
    <row r="253" spans="2:13" ht="12.75">
      <c r="B253" s="271">
        <v>4.648</v>
      </c>
      <c r="C253" s="272">
        <v>1.290878</v>
      </c>
      <c r="D253" s="272">
        <v>1.290878</v>
      </c>
      <c r="E253" s="273">
        <f t="shared" si="21"/>
        <v>6.204936912702872</v>
      </c>
      <c r="F253" s="273">
        <f t="shared" si="22"/>
        <v>-1.131541915795917</v>
      </c>
      <c r="G253" s="333">
        <f>'ERR &amp; Sensitivity Analysis'!$D$13</f>
        <v>84</v>
      </c>
      <c r="H253" s="332">
        <f>'ERR &amp; Sensitivity Analysis'!$D$14</f>
        <v>0.1</v>
      </c>
      <c r="I253" s="273">
        <f t="shared" si="23"/>
        <v>5.535200943999999</v>
      </c>
      <c r="J253" s="272">
        <f t="shared" si="24"/>
        <v>-45.61284445110869</v>
      </c>
      <c r="K253" s="272">
        <f t="shared" si="25"/>
        <v>-63.85797218456456</v>
      </c>
      <c r="L253" s="272">
        <f t="shared" si="26"/>
        <v>5.535200943999999</v>
      </c>
      <c r="M253" s="274">
        <f t="shared" si="27"/>
        <v>12.709926789455867</v>
      </c>
    </row>
    <row r="254" spans="2:13" ht="12.75">
      <c r="B254" s="271">
        <v>9.912</v>
      </c>
      <c r="C254" s="272">
        <v>1.291364</v>
      </c>
      <c r="D254" s="272">
        <v>1.291364</v>
      </c>
      <c r="E254" s="273">
        <f t="shared" si="21"/>
        <v>12.272305341069844</v>
      </c>
      <c r="F254" s="273">
        <f t="shared" si="22"/>
        <v>-0.8353531338595147</v>
      </c>
      <c r="G254" s="333">
        <f>'ERR &amp; Sensitivity Analysis'!$D$13</f>
        <v>84</v>
      </c>
      <c r="H254" s="332">
        <f>'ERR &amp; Sensitivity Analysis'!$D$14</f>
        <v>0.1</v>
      </c>
      <c r="I254" s="273">
        <f t="shared" si="23"/>
        <v>11.808799967999999</v>
      </c>
      <c r="J254" s="272">
        <f t="shared" si="24"/>
        <v>77.74214151806797</v>
      </c>
      <c r="K254" s="272">
        <f t="shared" si="25"/>
        <v>51.018280498777784</v>
      </c>
      <c r="L254" s="272">
        <f t="shared" si="26"/>
        <v>11.808799967999999</v>
      </c>
      <c r="M254" s="274">
        <f t="shared" si="27"/>
        <v>14.915061051290184</v>
      </c>
    </row>
    <row r="255" spans="2:13" ht="12.75">
      <c r="B255" s="271">
        <v>7.559999</v>
      </c>
      <c r="C255" s="272">
        <v>1.296296</v>
      </c>
      <c r="D255" s="272">
        <v>1.296296</v>
      </c>
      <c r="E255" s="273">
        <f t="shared" si="21"/>
        <v>9.648171004939107</v>
      </c>
      <c r="F255" s="273">
        <f t="shared" si="22"/>
        <v>-0.9398342937281526</v>
      </c>
      <c r="G255" s="333">
        <f>'ERR &amp; Sensitivity Analysis'!$D$13</f>
        <v>84</v>
      </c>
      <c r="H255" s="332">
        <f>'ERR &amp; Sensitivity Analysis'!$D$14</f>
        <v>0.1</v>
      </c>
      <c r="I255" s="273">
        <f t="shared" si="23"/>
        <v>9.043996563703999</v>
      </c>
      <c r="J255" s="272">
        <f t="shared" si="24"/>
        <v>162.88342763607847</v>
      </c>
      <c r="K255" s="272">
        <f t="shared" si="25"/>
        <v>139.61441692458806</v>
      </c>
      <c r="L255" s="272">
        <f t="shared" si="26"/>
        <v>9.043996563703999</v>
      </c>
      <c r="M255" s="274">
        <f t="shared" si="27"/>
        <v>14.22501414778641</v>
      </c>
    </row>
    <row r="256" spans="2:13" ht="12.75">
      <c r="B256" s="271">
        <v>8.304</v>
      </c>
      <c r="C256" s="272">
        <v>1.300578</v>
      </c>
      <c r="D256" s="272">
        <v>1.300578</v>
      </c>
      <c r="E256" s="273">
        <f t="shared" si="21"/>
        <v>10.525495921913112</v>
      </c>
      <c r="F256" s="273">
        <f t="shared" si="22"/>
        <v>-0.9020367187440682</v>
      </c>
      <c r="G256" s="333">
        <f>'ERR &amp; Sensitivity Analysis'!$D$13</f>
        <v>84</v>
      </c>
      <c r="H256" s="332">
        <f>'ERR &amp; Sensitivity Analysis'!$D$14</f>
        <v>0.1</v>
      </c>
      <c r="I256" s="273">
        <f t="shared" si="23"/>
        <v>9.969599711999999</v>
      </c>
      <c r="J256" s="272">
        <f t="shared" si="24"/>
        <v>110.24538555200802</v>
      </c>
      <c r="K256" s="272">
        <f t="shared" si="25"/>
        <v>85.74641327146615</v>
      </c>
      <c r="L256" s="272">
        <f t="shared" si="26"/>
        <v>9.969599711999999</v>
      </c>
      <c r="M256" s="274">
        <f t="shared" si="27"/>
        <v>14.529372568541865</v>
      </c>
    </row>
    <row r="257" spans="2:13" ht="12.75">
      <c r="B257" s="271">
        <v>3.6904</v>
      </c>
      <c r="C257" s="272">
        <v>1.300672</v>
      </c>
      <c r="D257" s="272">
        <v>1.300672</v>
      </c>
      <c r="E257" s="273">
        <f t="shared" si="21"/>
        <v>5.083292820875303</v>
      </c>
      <c r="F257" s="273">
        <f t="shared" si="22"/>
        <v>-1.2181341582935754</v>
      </c>
      <c r="G257" s="333">
        <f>'ERR &amp; Sensitivity Analysis'!$D$13</f>
        <v>84</v>
      </c>
      <c r="H257" s="332">
        <f>'ERR &amp; Sensitivity Analysis'!$D$14</f>
        <v>0.1</v>
      </c>
      <c r="I257" s="273">
        <f t="shared" si="23"/>
        <v>4.4309599488</v>
      </c>
      <c r="J257" s="272">
        <f t="shared" si="24"/>
        <v>-22.00480652067307</v>
      </c>
      <c r="K257" s="272">
        <f t="shared" si="25"/>
        <v>-38.50841182193429</v>
      </c>
      <c r="L257" s="272">
        <f t="shared" si="26"/>
        <v>4.4309599488</v>
      </c>
      <c r="M257" s="274">
        <f t="shared" si="27"/>
        <v>12.072645352461217</v>
      </c>
    </row>
    <row r="258" spans="2:13" ht="12.75">
      <c r="B258" s="271">
        <v>3.36</v>
      </c>
      <c r="C258" s="272">
        <v>1.303571</v>
      </c>
      <c r="D258" s="272">
        <v>1.303571</v>
      </c>
      <c r="E258" s="273">
        <f t="shared" si="21"/>
        <v>4.684603780329887</v>
      </c>
      <c r="F258" s="273">
        <f t="shared" si="22"/>
        <v>-1.253606421530329</v>
      </c>
      <c r="G258" s="333">
        <f>'ERR &amp; Sensitivity Analysis'!$D$13</f>
        <v>84</v>
      </c>
      <c r="H258" s="332">
        <f>'ERR &amp; Sensitivity Analysis'!$D$14</f>
        <v>0.1</v>
      </c>
      <c r="I258" s="273">
        <f t="shared" si="23"/>
        <v>4.0439985599999995</v>
      </c>
      <c r="J258" s="272">
        <f t="shared" si="24"/>
        <v>-17.27085037346419</v>
      </c>
      <c r="K258" s="272">
        <f t="shared" si="25"/>
        <v>-33.12218968791148</v>
      </c>
      <c r="L258" s="272">
        <f t="shared" si="26"/>
        <v>4.0439985599999995</v>
      </c>
      <c r="M258" s="274">
        <f t="shared" si="27"/>
        <v>11.807340754447292</v>
      </c>
    </row>
    <row r="259" spans="2:13" ht="12.75">
      <c r="B259" s="271">
        <v>15.12</v>
      </c>
      <c r="C259" s="272">
        <v>1.306217</v>
      </c>
      <c r="D259" s="272">
        <v>1.306217</v>
      </c>
      <c r="E259" s="273">
        <f t="shared" si="21"/>
        <v>18.070489197564648</v>
      </c>
      <c r="F259" s="273">
        <f t="shared" si="22"/>
        <v>-0.6673093762830694</v>
      </c>
      <c r="G259" s="333">
        <f>'ERR &amp; Sensitivity Analysis'!$D$13</f>
        <v>84</v>
      </c>
      <c r="H259" s="332">
        <f>'ERR &amp; Sensitivity Analysis'!$D$14</f>
        <v>0.1</v>
      </c>
      <c r="I259" s="273">
        <f t="shared" si="23"/>
        <v>18.238001039999997</v>
      </c>
      <c r="J259" s="272">
        <f t="shared" si="24"/>
        <v>59.36446545846829</v>
      </c>
      <c r="K259" s="272">
        <f t="shared" si="25"/>
        <v>25.248682713544497</v>
      </c>
      <c r="L259" s="272">
        <f t="shared" si="26"/>
        <v>18.238001039999997</v>
      </c>
      <c r="M259" s="274">
        <f t="shared" si="27"/>
        <v>15.877781704923795</v>
      </c>
    </row>
    <row r="260" spans="2:13" ht="12.75">
      <c r="B260" s="271">
        <v>3.696</v>
      </c>
      <c r="C260" s="272">
        <v>1.352814</v>
      </c>
      <c r="D260" s="272">
        <v>1.352814</v>
      </c>
      <c r="E260" s="273">
        <f t="shared" si="21"/>
        <v>5.310174647521668</v>
      </c>
      <c r="F260" s="273">
        <f t="shared" si="22"/>
        <v>-1.1991704811371684</v>
      </c>
      <c r="G260" s="333">
        <f>'ERR &amp; Sensitivity Analysis'!$D$13</f>
        <v>84</v>
      </c>
      <c r="H260" s="332">
        <f>'ERR &amp; Sensitivity Analysis'!$D$14</f>
        <v>0.1</v>
      </c>
      <c r="I260" s="273">
        <f t="shared" si="23"/>
        <v>4.630400544</v>
      </c>
      <c r="J260" s="272">
        <f t="shared" si="24"/>
        <v>-25.104124443805045</v>
      </c>
      <c r="K260" s="272">
        <f t="shared" si="25"/>
        <v>-42.17492447696069</v>
      </c>
      <c r="L260" s="272">
        <f t="shared" si="26"/>
        <v>4.630400544</v>
      </c>
      <c r="M260" s="274">
        <f t="shared" si="27"/>
        <v>12.440399489155645</v>
      </c>
    </row>
    <row r="261" spans="2:13" ht="12.75">
      <c r="B261" s="271">
        <v>15.96</v>
      </c>
      <c r="C261" s="272">
        <v>1.378446</v>
      </c>
      <c r="D261" s="272">
        <v>1.378446</v>
      </c>
      <c r="E261" s="273">
        <f t="shared" si="21"/>
        <v>19.555465349452593</v>
      </c>
      <c r="F261" s="273">
        <f t="shared" si="22"/>
        <v>-0.6330111310105111</v>
      </c>
      <c r="G261" s="333">
        <f>'ERR &amp; Sensitivity Analysis'!$D$13</f>
        <v>84</v>
      </c>
      <c r="H261" s="332">
        <f>'ERR &amp; Sensitivity Analysis'!$D$14</f>
        <v>0.1</v>
      </c>
      <c r="I261" s="273">
        <f t="shared" si="23"/>
        <v>20.40399816</v>
      </c>
      <c r="J261" s="272">
        <f t="shared" si="24"/>
        <v>59.94731725945104</v>
      </c>
      <c r="K261" s="272">
        <f t="shared" si="25"/>
        <v>22.88897759523216</v>
      </c>
      <c r="L261" s="272">
        <f t="shared" si="26"/>
        <v>20.40399816</v>
      </c>
      <c r="M261" s="274">
        <f t="shared" si="27"/>
        <v>16.654341504218877</v>
      </c>
    </row>
    <row r="262" spans="2:13" ht="12.75">
      <c r="B262" s="271">
        <v>6.384</v>
      </c>
      <c r="C262" s="272">
        <v>1.409774</v>
      </c>
      <c r="D262" s="272">
        <v>1.409774</v>
      </c>
      <c r="E262" s="273">
        <f t="shared" si="21"/>
        <v>8.919765350910547</v>
      </c>
      <c r="F262" s="273">
        <f t="shared" si="22"/>
        <v>-0.9739258563657065</v>
      </c>
      <c r="G262" s="333">
        <f>'ERR &amp; Sensitivity Analysis'!$D$13</f>
        <v>84</v>
      </c>
      <c r="H262" s="332">
        <f>'ERR &amp; Sensitivity Analysis'!$D$14</f>
        <v>0.1</v>
      </c>
      <c r="I262" s="273">
        <f t="shared" si="23"/>
        <v>8.361597216</v>
      </c>
      <c r="J262" s="272">
        <f t="shared" si="24"/>
        <v>345.16942693231664</v>
      </c>
      <c r="K262" s="272">
        <f t="shared" si="25"/>
        <v>322.15823145777523</v>
      </c>
      <c r="L262" s="272">
        <f t="shared" si="26"/>
        <v>8.361597216</v>
      </c>
      <c r="M262" s="274">
        <f t="shared" si="27"/>
        <v>14.64959825854141</v>
      </c>
    </row>
    <row r="263" spans="2:13" ht="12.75">
      <c r="B263" s="271">
        <v>2.8</v>
      </c>
      <c r="C263" s="272">
        <v>1.428571</v>
      </c>
      <c r="D263" s="272">
        <v>1.428571</v>
      </c>
      <c r="E263" s="273">
        <f t="shared" si="21"/>
        <v>4.418529052599516</v>
      </c>
      <c r="F263" s="273">
        <f t="shared" si="22"/>
        <v>-1.2790015711610008</v>
      </c>
      <c r="G263" s="333">
        <f>'ERR &amp; Sensitivity Analysis'!$D$13</f>
        <v>84</v>
      </c>
      <c r="H263" s="332">
        <f>'ERR &amp; Sensitivity Analysis'!$D$14</f>
        <v>0.1</v>
      </c>
      <c r="I263" s="273">
        <f t="shared" si="23"/>
        <v>3.7199987999999995</v>
      </c>
      <c r="J263" s="272">
        <f t="shared" si="24"/>
        <v>-14.33683252518947</v>
      </c>
      <c r="K263" s="272">
        <f t="shared" si="25"/>
        <v>-30.107357335105085</v>
      </c>
      <c r="L263" s="272">
        <f t="shared" si="26"/>
        <v>3.7199987999999995</v>
      </c>
      <c r="M263" s="274">
        <f t="shared" si="27"/>
        <v>12.050526009915616</v>
      </c>
    </row>
    <row r="264" spans="2:13" ht="12.75">
      <c r="B264" s="271">
        <v>4.2</v>
      </c>
      <c r="C264" s="272">
        <v>1.428571</v>
      </c>
      <c r="D264" s="272">
        <v>1.428571</v>
      </c>
      <c r="E264" s="273">
        <f t="shared" si="21"/>
        <v>6.276978470057881</v>
      </c>
      <c r="F264" s="273">
        <f t="shared" si="22"/>
        <v>-1.1265286470321831</v>
      </c>
      <c r="G264" s="333">
        <f>'ERR &amp; Sensitivity Analysis'!$D$13</f>
        <v>84</v>
      </c>
      <c r="H264" s="332">
        <f>'ERR &amp; Sensitivity Analysis'!$D$14</f>
        <v>0.1</v>
      </c>
      <c r="I264" s="273">
        <f t="shared" si="23"/>
        <v>5.5799982</v>
      </c>
      <c r="J264" s="272">
        <f t="shared" si="24"/>
        <v>-47.42007711877195</v>
      </c>
      <c r="K264" s="272">
        <f t="shared" si="25"/>
        <v>-66.38812788271909</v>
      </c>
      <c r="L264" s="272">
        <f t="shared" si="26"/>
        <v>5.5799982</v>
      </c>
      <c r="M264" s="274">
        <f t="shared" si="27"/>
        <v>13.38805256394714</v>
      </c>
    </row>
    <row r="265" spans="2:13" ht="12.75">
      <c r="B265" s="271">
        <v>1.652</v>
      </c>
      <c r="C265" s="272">
        <v>1.452785</v>
      </c>
      <c r="D265" s="272">
        <v>1.452785</v>
      </c>
      <c r="E265" s="273">
        <f t="shared" si="21"/>
        <v>2.8585357296706975</v>
      </c>
      <c r="F265" s="273">
        <f t="shared" si="22"/>
        <v>-1.4681356611044376</v>
      </c>
      <c r="G265" s="333">
        <f>'ERR &amp; Sensitivity Analysis'!$D$13</f>
        <v>84</v>
      </c>
      <c r="H265" s="332">
        <f>'ERR &amp; Sensitivity Analysis'!$D$14</f>
        <v>0.1</v>
      </c>
      <c r="I265" s="273">
        <f t="shared" si="23"/>
        <v>2.23480082</v>
      </c>
      <c r="J265" s="272">
        <f t="shared" si="24"/>
        <v>-5.126720776489996</v>
      </c>
      <c r="K265" s="272">
        <f t="shared" si="25"/>
        <v>-17.943516587013498</v>
      </c>
      <c r="L265" s="272">
        <f t="shared" si="26"/>
        <v>2.23480082</v>
      </c>
      <c r="M265" s="274">
        <f t="shared" si="27"/>
        <v>10.581994990523501</v>
      </c>
    </row>
    <row r="266" spans="2:13" ht="12.75">
      <c r="B266" s="271">
        <v>2.736</v>
      </c>
      <c r="C266" s="272">
        <v>1.461988</v>
      </c>
      <c r="D266" s="272">
        <v>1.461988</v>
      </c>
      <c r="E266" s="273">
        <f t="shared" si="21"/>
        <v>4.443066175226027</v>
      </c>
      <c r="F266" s="273">
        <f t="shared" si="22"/>
        <v>-1.2765965043714325</v>
      </c>
      <c r="G266" s="333">
        <f>'ERR &amp; Sensitivity Analysis'!$D$13</f>
        <v>84</v>
      </c>
      <c r="H266" s="332">
        <f>'ERR &amp; Sensitivity Analysis'!$D$14</f>
        <v>0.1</v>
      </c>
      <c r="I266" s="273">
        <f t="shared" si="23"/>
        <v>3.7263991680000004</v>
      </c>
      <c r="J266" s="272">
        <f t="shared" si="24"/>
        <v>-14.461495733975482</v>
      </c>
      <c r="K266" s="272">
        <f t="shared" si="25"/>
        <v>-30.369147358131166</v>
      </c>
      <c r="L266" s="272">
        <f t="shared" si="26"/>
        <v>3.7263991680000004</v>
      </c>
      <c r="M266" s="274">
        <f t="shared" si="27"/>
        <v>12.181252456155683</v>
      </c>
    </row>
    <row r="267" spans="2:13" ht="12.75">
      <c r="B267" s="271">
        <v>26.88</v>
      </c>
      <c r="C267" s="272">
        <v>1.469494</v>
      </c>
      <c r="D267" s="272">
        <v>1.469494</v>
      </c>
      <c r="E267" s="273">
        <f t="shared" si="21"/>
        <v>31.64493779504858</v>
      </c>
      <c r="F267" s="273">
        <f t="shared" si="22"/>
        <v>-0.42397503974996376</v>
      </c>
      <c r="G267" s="333">
        <f>'ERR &amp; Sensitivity Analysis'!$D$13</f>
        <v>84</v>
      </c>
      <c r="H267" s="332">
        <f>'ERR &amp; Sensitivity Analysis'!$D$14</f>
        <v>0.1</v>
      </c>
      <c r="I267" s="273">
        <f t="shared" si="23"/>
        <v>36.81199872</v>
      </c>
      <c r="J267" s="272">
        <f t="shared" si="24"/>
        <v>68.57341512224428</v>
      </c>
      <c r="K267" s="272">
        <f t="shared" si="25"/>
        <v>14.582701409942022</v>
      </c>
      <c r="L267" s="272">
        <f t="shared" si="26"/>
        <v>36.81199872</v>
      </c>
      <c r="M267" s="274">
        <f t="shared" si="27"/>
        <v>17.178714992302268</v>
      </c>
    </row>
    <row r="268" spans="2:13" ht="12.75">
      <c r="B268" s="271">
        <v>4.7424</v>
      </c>
      <c r="C268" s="272">
        <v>1.476046</v>
      </c>
      <c r="D268" s="272">
        <v>1.476046</v>
      </c>
      <c r="E268" s="273">
        <f t="shared" si="21"/>
        <v>7.187054391472558</v>
      </c>
      <c r="F268" s="273">
        <f t="shared" si="22"/>
        <v>-1.0677283544614287</v>
      </c>
      <c r="G268" s="333">
        <f>'ERR &amp; Sensitivity Analysis'!$D$13</f>
        <v>84</v>
      </c>
      <c r="H268" s="332">
        <f>'ERR &amp; Sensitivity Analysis'!$D$14</f>
        <v>0.1</v>
      </c>
      <c r="I268" s="273">
        <f t="shared" si="23"/>
        <v>6.525760550399999</v>
      </c>
      <c r="J268" s="272">
        <f t="shared" si="24"/>
        <v>-103.35406206253697</v>
      </c>
      <c r="K268" s="272">
        <f t="shared" si="25"/>
        <v>-124.02486472314645</v>
      </c>
      <c r="L268" s="272">
        <f t="shared" si="26"/>
        <v>6.525760550399999</v>
      </c>
      <c r="M268" s="274">
        <f t="shared" si="27"/>
        <v>14.145042110209483</v>
      </c>
    </row>
    <row r="269" spans="2:13" ht="12.75">
      <c r="B269" s="271">
        <v>6.384</v>
      </c>
      <c r="C269" s="272">
        <v>1.488095</v>
      </c>
      <c r="D269" s="272">
        <v>1.488095</v>
      </c>
      <c r="E269" s="273">
        <f t="shared" si="21"/>
        <v>9.32944173890959</v>
      </c>
      <c r="F269" s="273">
        <f t="shared" si="22"/>
        <v>-0.9544236291283306</v>
      </c>
      <c r="G269" s="333">
        <f>'ERR &amp; Sensitivity Analysis'!$D$13</f>
        <v>84</v>
      </c>
      <c r="H269" s="332">
        <f>'ERR &amp; Sensitivity Analysis'!$D$14</f>
        <v>0.1</v>
      </c>
      <c r="I269" s="273">
        <f t="shared" si="23"/>
        <v>8.86159848</v>
      </c>
      <c r="J269" s="272">
        <f t="shared" si="24"/>
        <v>208.44131066840296</v>
      </c>
      <c r="K269" s="272">
        <f t="shared" si="25"/>
        <v>184.3060305010265</v>
      </c>
      <c r="L269" s="272">
        <f t="shared" si="26"/>
        <v>8.86159848</v>
      </c>
      <c r="M269" s="274">
        <f t="shared" si="27"/>
        <v>15.273681687376465</v>
      </c>
    </row>
    <row r="270" spans="2:13" ht="12.75">
      <c r="B270" s="271">
        <v>6.72</v>
      </c>
      <c r="C270" s="272">
        <v>1.488095</v>
      </c>
      <c r="D270" s="272">
        <v>1.488095</v>
      </c>
      <c r="E270" s="273">
        <f t="shared" si="21"/>
        <v>9.746587753836142</v>
      </c>
      <c r="F270" s="273">
        <f t="shared" si="22"/>
        <v>-0.9354266887281687</v>
      </c>
      <c r="G270" s="333">
        <f>'ERR &amp; Sensitivity Analysis'!$D$13</f>
        <v>84</v>
      </c>
      <c r="H270" s="332">
        <f>'ERR &amp; Sensitivity Analysis'!$D$14</f>
        <v>0.1</v>
      </c>
      <c r="I270" s="273">
        <f t="shared" si="23"/>
        <v>9.327998399999998</v>
      </c>
      <c r="J270" s="272">
        <f t="shared" si="24"/>
        <v>154.86271654714233</v>
      </c>
      <c r="K270" s="272">
        <f t="shared" si="25"/>
        <v>130.084702713152</v>
      </c>
      <c r="L270" s="272">
        <f t="shared" si="26"/>
        <v>9.327998399999998</v>
      </c>
      <c r="M270" s="274">
        <f t="shared" si="27"/>
        <v>15.450015433990316</v>
      </c>
    </row>
    <row r="271" spans="2:13" ht="12.75">
      <c r="B271" s="271">
        <v>6.384</v>
      </c>
      <c r="C271" s="272">
        <v>1.50376</v>
      </c>
      <c r="D271" s="272">
        <v>1.50376</v>
      </c>
      <c r="E271" s="273">
        <f t="shared" si="21"/>
        <v>9.408988642247063</v>
      </c>
      <c r="F271" s="273">
        <f t="shared" si="22"/>
        <v>-0.9507363417734568</v>
      </c>
      <c r="G271" s="333">
        <f>'ERR &amp; Sensitivity Analysis'!$D$13</f>
        <v>84</v>
      </c>
      <c r="H271" s="332">
        <f>'ERR &amp; Sensitivity Analysis'!$D$14</f>
        <v>0.1</v>
      </c>
      <c r="I271" s="273">
        <f t="shared" si="23"/>
        <v>8.96160384</v>
      </c>
      <c r="J271" s="272">
        <f t="shared" si="24"/>
        <v>194.86989366184596</v>
      </c>
      <c r="K271" s="272">
        <f t="shared" si="25"/>
        <v>170.5110887496798</v>
      </c>
      <c r="L271" s="272">
        <f t="shared" si="26"/>
        <v>8.96160384</v>
      </c>
      <c r="M271" s="274">
        <f t="shared" si="27"/>
        <v>15.397201072166164</v>
      </c>
    </row>
    <row r="272" spans="2:13" ht="12.75">
      <c r="B272" s="271">
        <v>3.304</v>
      </c>
      <c r="C272" s="272">
        <v>1.513317</v>
      </c>
      <c r="D272" s="272">
        <v>1.513317</v>
      </c>
      <c r="E272" s="273">
        <f t="shared" si="21"/>
        <v>5.411626667256558</v>
      </c>
      <c r="F272" s="273">
        <f t="shared" si="22"/>
        <v>-1.190951457844893</v>
      </c>
      <c r="G272" s="333">
        <f>'ERR &amp; Sensitivity Analysis'!$D$13</f>
        <v>84</v>
      </c>
      <c r="H272" s="332">
        <f>'ERR &amp; Sensitivity Analysis'!$D$14</f>
        <v>0.1</v>
      </c>
      <c r="I272" s="273">
        <f t="shared" si="23"/>
        <v>4.669599367999999</v>
      </c>
      <c r="J272" s="272">
        <f t="shared" si="24"/>
        <v>-26.184661926286125</v>
      </c>
      <c r="K272" s="272">
        <f t="shared" si="25"/>
        <v>-43.99023759652673</v>
      </c>
      <c r="L272" s="272">
        <f t="shared" si="26"/>
        <v>4.669599367999999</v>
      </c>
      <c r="M272" s="274">
        <f t="shared" si="27"/>
        <v>13.135976302240607</v>
      </c>
    </row>
    <row r="273" spans="2:13" ht="12.75">
      <c r="B273" s="271">
        <v>3.192</v>
      </c>
      <c r="C273" s="272">
        <v>1.566416</v>
      </c>
      <c r="D273" s="272">
        <v>1.566416</v>
      </c>
      <c r="E273" s="273">
        <f t="shared" si="21"/>
        <v>5.44153325739276</v>
      </c>
      <c r="F273" s="273">
        <f t="shared" si="22"/>
        <v>-1.188557998238119</v>
      </c>
      <c r="G273" s="333">
        <f>'ERR &amp; Sensitivity Analysis'!$D$13</f>
        <v>84</v>
      </c>
      <c r="H273" s="332">
        <f>'ERR &amp; Sensitivity Analysis'!$D$14</f>
        <v>0.1</v>
      </c>
      <c r="I273" s="273">
        <f t="shared" si="23"/>
        <v>4.680799872</v>
      </c>
      <c r="J273" s="272">
        <f t="shared" si="24"/>
        <v>-26.5170394187458</v>
      </c>
      <c r="K273" s="272">
        <f t="shared" si="25"/>
        <v>-44.548627363937804</v>
      </c>
      <c r="L273" s="272">
        <f t="shared" si="26"/>
        <v>4.680799872</v>
      </c>
      <c r="M273" s="274">
        <f t="shared" si="27"/>
        <v>13.350788073192005</v>
      </c>
    </row>
    <row r="274" spans="2:13" ht="12.75">
      <c r="B274" s="271">
        <v>3.192</v>
      </c>
      <c r="C274" s="272">
        <v>1.566416</v>
      </c>
      <c r="D274" s="272">
        <v>1.566416</v>
      </c>
      <c r="E274" s="273">
        <f t="shared" si="21"/>
        <v>5.44153325739276</v>
      </c>
      <c r="F274" s="273">
        <f t="shared" si="22"/>
        <v>-1.188557998238119</v>
      </c>
      <c r="G274" s="333">
        <f>'ERR &amp; Sensitivity Analysis'!$D$13</f>
        <v>84</v>
      </c>
      <c r="H274" s="332">
        <f>'ERR &amp; Sensitivity Analysis'!$D$14</f>
        <v>0.1</v>
      </c>
      <c r="I274" s="273">
        <f t="shared" si="23"/>
        <v>4.680799872</v>
      </c>
      <c r="J274" s="272">
        <f t="shared" si="24"/>
        <v>-26.5170394187458</v>
      </c>
      <c r="K274" s="272">
        <f t="shared" si="25"/>
        <v>-44.548627363937804</v>
      </c>
      <c r="L274" s="272">
        <f t="shared" si="26"/>
        <v>4.680799872</v>
      </c>
      <c r="M274" s="274">
        <f t="shared" si="27"/>
        <v>13.350788073192005</v>
      </c>
    </row>
    <row r="275" spans="2:13" ht="12.75">
      <c r="B275" s="271">
        <v>6.384</v>
      </c>
      <c r="C275" s="272">
        <v>1.566416</v>
      </c>
      <c r="D275" s="272">
        <v>1.566416</v>
      </c>
      <c r="E275" s="273">
        <f t="shared" si="21"/>
        <v>9.719609498169621</v>
      </c>
      <c r="F275" s="273">
        <f t="shared" si="22"/>
        <v>-0.9366304693040126</v>
      </c>
      <c r="G275" s="333">
        <f>'ERR &amp; Sensitivity Analysis'!$D$13</f>
        <v>84</v>
      </c>
      <c r="H275" s="332">
        <f>'ERR &amp; Sensitivity Analysis'!$D$14</f>
        <v>0.1</v>
      </c>
      <c r="I275" s="273">
        <f t="shared" si="23"/>
        <v>9.361599744</v>
      </c>
      <c r="J275" s="272">
        <f t="shared" si="24"/>
        <v>157.80454161755705</v>
      </c>
      <c r="K275" s="272">
        <f t="shared" si="25"/>
        <v>132.5558183521769</v>
      </c>
      <c r="L275" s="272">
        <f t="shared" si="26"/>
        <v>9.361599744</v>
      </c>
      <c r="M275" s="274">
        <f t="shared" si="27"/>
        <v>15.887123521380136</v>
      </c>
    </row>
    <row r="276" spans="2:13" ht="12.75">
      <c r="B276" s="271">
        <v>9.576</v>
      </c>
      <c r="C276" s="272">
        <v>1.566416</v>
      </c>
      <c r="D276" s="272">
        <v>1.566416</v>
      </c>
      <c r="E276" s="273">
        <f aca="true" t="shared" si="28" ref="E276:E339">B276/(D276^F276)</f>
        <v>13.646364713696913</v>
      </c>
      <c r="F276" s="273">
        <f aca="true" t="shared" si="29" ref="F276:F339">LN(B276/G276)/LN(D276/H276)</f>
        <v>-0.7892623119782162</v>
      </c>
      <c r="G276" s="333">
        <f>'ERR &amp; Sensitivity Analysis'!$D$13</f>
        <v>84</v>
      </c>
      <c r="H276" s="332">
        <f>'ERR &amp; Sensitivity Analysis'!$D$14</f>
        <v>0.1</v>
      </c>
      <c r="I276" s="273">
        <f aca="true" t="shared" si="30" ref="I276:I339">IF((D276-H276)*B276&gt;0,(D276-H276)*B276,0)</f>
        <v>14.042399616</v>
      </c>
      <c r="J276" s="272">
        <f aca="true" t="shared" si="31" ref="J276:J339">(E276*(D276^(F276+1)))/(F276+1)</f>
        <v>71.17853363964711</v>
      </c>
      <c r="K276" s="272">
        <f aca="true" t="shared" si="32" ref="K276:K339">(E276*(H276^(F276+1)))/(F276+1)</f>
        <v>39.85997985861787</v>
      </c>
      <c r="L276" s="272">
        <f aca="true" t="shared" si="33" ref="L276:L339">(D276-H276)*B276</f>
        <v>14.042399616</v>
      </c>
      <c r="M276" s="274">
        <f aca="true" t="shared" si="34" ref="M276:M339">J276-K276-L276</f>
        <v>17.276154165029244</v>
      </c>
    </row>
    <row r="277" spans="2:13" ht="12.75">
      <c r="B277" s="271">
        <v>9.576</v>
      </c>
      <c r="C277" s="272">
        <v>1.566416</v>
      </c>
      <c r="D277" s="272">
        <v>1.566416</v>
      </c>
      <c r="E277" s="273">
        <f t="shared" si="28"/>
        <v>13.646364713696913</v>
      </c>
      <c r="F277" s="273">
        <f t="shared" si="29"/>
        <v>-0.7892623119782162</v>
      </c>
      <c r="G277" s="333">
        <f>'ERR &amp; Sensitivity Analysis'!$D$13</f>
        <v>84</v>
      </c>
      <c r="H277" s="332">
        <f>'ERR &amp; Sensitivity Analysis'!$D$14</f>
        <v>0.1</v>
      </c>
      <c r="I277" s="273">
        <f t="shared" si="30"/>
        <v>14.042399616</v>
      </c>
      <c r="J277" s="272">
        <f t="shared" si="31"/>
        <v>71.17853363964711</v>
      </c>
      <c r="K277" s="272">
        <f t="shared" si="32"/>
        <v>39.85997985861787</v>
      </c>
      <c r="L277" s="272">
        <f t="shared" si="33"/>
        <v>14.042399616</v>
      </c>
      <c r="M277" s="274">
        <f t="shared" si="34"/>
        <v>17.276154165029244</v>
      </c>
    </row>
    <row r="278" spans="2:13" ht="12.75">
      <c r="B278" s="271">
        <v>5.04</v>
      </c>
      <c r="C278" s="272">
        <v>1.587302</v>
      </c>
      <c r="D278" s="272">
        <v>1.587302</v>
      </c>
      <c r="E278" s="273">
        <f t="shared" si="28"/>
        <v>8.065500656625403</v>
      </c>
      <c r="F278" s="273">
        <f t="shared" si="29"/>
        <v>-1.0176479551724662</v>
      </c>
      <c r="G278" s="333">
        <f>'ERR &amp; Sensitivity Analysis'!$D$13</f>
        <v>84</v>
      </c>
      <c r="H278" s="332">
        <f>'ERR &amp; Sensitivity Analysis'!$D$14</f>
        <v>0.1</v>
      </c>
      <c r="I278" s="273">
        <f t="shared" si="30"/>
        <v>7.496002079999999</v>
      </c>
      <c r="J278" s="272">
        <f t="shared" si="31"/>
        <v>-453.3104261552839</v>
      </c>
      <c r="K278" s="272">
        <f t="shared" si="32"/>
        <v>-475.97582370933384</v>
      </c>
      <c r="L278" s="272">
        <f t="shared" si="33"/>
        <v>7.496002079999999</v>
      </c>
      <c r="M278" s="274">
        <f t="shared" si="34"/>
        <v>15.169395474049946</v>
      </c>
    </row>
    <row r="279" spans="2:13" ht="12.75">
      <c r="B279" s="271">
        <v>3.304</v>
      </c>
      <c r="C279" s="272">
        <v>1.588983</v>
      </c>
      <c r="D279" s="272">
        <v>1.588983</v>
      </c>
      <c r="E279" s="273">
        <f t="shared" si="28"/>
        <v>5.679862141755352</v>
      </c>
      <c r="F279" s="273">
        <f t="shared" si="29"/>
        <v>-1.1699414911609873</v>
      </c>
      <c r="G279" s="333">
        <f>'ERR &amp; Sensitivity Analysis'!$D$13</f>
        <v>84</v>
      </c>
      <c r="H279" s="332">
        <f>'ERR &amp; Sensitivity Analysis'!$D$14</f>
        <v>0.1</v>
      </c>
      <c r="I279" s="273">
        <f t="shared" si="30"/>
        <v>4.919599831999999</v>
      </c>
      <c r="J279" s="272">
        <f t="shared" si="31"/>
        <v>-30.892984380292514</v>
      </c>
      <c r="K279" s="272">
        <f t="shared" si="32"/>
        <v>-49.428776590188875</v>
      </c>
      <c r="L279" s="272">
        <f t="shared" si="33"/>
        <v>4.919599831999999</v>
      </c>
      <c r="M279" s="274">
        <f t="shared" si="34"/>
        <v>13.616192377896361</v>
      </c>
    </row>
    <row r="280" spans="2:13" ht="12.75">
      <c r="B280" s="271">
        <v>6.608</v>
      </c>
      <c r="C280" s="272">
        <v>1.588983</v>
      </c>
      <c r="D280" s="272">
        <v>1.588983</v>
      </c>
      <c r="E280" s="273">
        <f t="shared" si="28"/>
        <v>10.1149179639038</v>
      </c>
      <c r="F280" s="273">
        <f t="shared" si="29"/>
        <v>-0.9193169212455549</v>
      </c>
      <c r="G280" s="333">
        <f>'ERR &amp; Sensitivity Analysis'!$D$13</f>
        <v>84</v>
      </c>
      <c r="H280" s="332">
        <f>'ERR &amp; Sensitivity Analysis'!$D$14</f>
        <v>0.1</v>
      </c>
      <c r="I280" s="273">
        <f t="shared" si="30"/>
        <v>9.839199663999999</v>
      </c>
      <c r="J280" s="272">
        <f t="shared" si="31"/>
        <v>130.13880761734708</v>
      </c>
      <c r="K280" s="272">
        <f t="shared" si="32"/>
        <v>104.11104942543123</v>
      </c>
      <c r="L280" s="272">
        <f t="shared" si="33"/>
        <v>9.839199663999999</v>
      </c>
      <c r="M280" s="274">
        <f t="shared" si="34"/>
        <v>16.188558527915852</v>
      </c>
    </row>
    <row r="281" spans="2:13" ht="12.75">
      <c r="B281" s="271">
        <v>8.4</v>
      </c>
      <c r="C281" s="272">
        <v>1.607143</v>
      </c>
      <c r="D281" s="272">
        <v>1.607143</v>
      </c>
      <c r="E281" s="273">
        <f t="shared" si="28"/>
        <v>12.448854013756984</v>
      </c>
      <c r="F281" s="273">
        <f t="shared" si="29"/>
        <v>-0.829149912012359</v>
      </c>
      <c r="G281" s="333">
        <f>'ERR &amp; Sensitivity Analysis'!$D$13</f>
        <v>84</v>
      </c>
      <c r="H281" s="332">
        <f>'ERR &amp; Sensitivity Analysis'!$D$14</f>
        <v>0.1</v>
      </c>
      <c r="I281" s="273">
        <f t="shared" si="30"/>
        <v>12.6600012</v>
      </c>
      <c r="J281" s="272">
        <f t="shared" si="31"/>
        <v>79.0166476295673</v>
      </c>
      <c r="K281" s="272">
        <f t="shared" si="32"/>
        <v>49.16590971031656</v>
      </c>
      <c r="L281" s="272">
        <f t="shared" si="33"/>
        <v>12.6600012</v>
      </c>
      <c r="M281" s="274">
        <f t="shared" si="34"/>
        <v>17.19073671925074</v>
      </c>
    </row>
    <row r="282" spans="2:13" ht="12.75">
      <c r="B282" s="271">
        <v>2.464</v>
      </c>
      <c r="C282" s="272">
        <v>1.623377</v>
      </c>
      <c r="D282" s="272">
        <v>1.623377</v>
      </c>
      <c r="E282" s="273">
        <f t="shared" si="28"/>
        <v>4.550663247895311</v>
      </c>
      <c r="F282" s="273">
        <f t="shared" si="29"/>
        <v>-1.2662045874467185</v>
      </c>
      <c r="G282" s="333">
        <f>'ERR &amp; Sensitivity Analysis'!$D$13</f>
        <v>84</v>
      </c>
      <c r="H282" s="332">
        <f>'ERR &amp; Sensitivity Analysis'!$D$14</f>
        <v>0.1</v>
      </c>
      <c r="I282" s="273">
        <f t="shared" si="30"/>
        <v>3.753600928</v>
      </c>
      <c r="J282" s="272">
        <f t="shared" si="31"/>
        <v>-15.026040559126768</v>
      </c>
      <c r="K282" s="272">
        <f t="shared" si="32"/>
        <v>-31.554677853480968</v>
      </c>
      <c r="L282" s="272">
        <f t="shared" si="33"/>
        <v>3.753600928</v>
      </c>
      <c r="M282" s="274">
        <f t="shared" si="34"/>
        <v>12.775036366354197</v>
      </c>
    </row>
    <row r="283" spans="2:13" ht="12.75">
      <c r="B283" s="271">
        <v>3.696</v>
      </c>
      <c r="C283" s="272">
        <v>1.623377</v>
      </c>
      <c r="D283" s="272">
        <v>1.623377</v>
      </c>
      <c r="E283" s="273">
        <f t="shared" si="28"/>
        <v>6.361422509304293</v>
      </c>
      <c r="F283" s="273">
        <f t="shared" si="29"/>
        <v>-1.1207250448061024</v>
      </c>
      <c r="G283" s="333">
        <f>'ERR &amp; Sensitivity Analysis'!$D$13</f>
        <v>84</v>
      </c>
      <c r="H283" s="332">
        <f>'ERR &amp; Sensitivity Analysis'!$D$14</f>
        <v>0.1</v>
      </c>
      <c r="I283" s="273">
        <f t="shared" si="30"/>
        <v>5.6304013920000004</v>
      </c>
      <c r="J283" s="272">
        <f t="shared" si="31"/>
        <v>-49.69972387781392</v>
      </c>
      <c r="K283" s="272">
        <f t="shared" si="32"/>
        <v>-69.57959728647295</v>
      </c>
      <c r="L283" s="272">
        <f t="shared" si="33"/>
        <v>5.6304013920000004</v>
      </c>
      <c r="M283" s="274">
        <f t="shared" si="34"/>
        <v>14.249472016659023</v>
      </c>
    </row>
    <row r="284" spans="2:13" ht="12.75">
      <c r="B284" s="271">
        <v>19.824</v>
      </c>
      <c r="C284" s="272">
        <v>1.639427</v>
      </c>
      <c r="D284" s="272">
        <v>1.639427</v>
      </c>
      <c r="E284" s="273">
        <f t="shared" si="28"/>
        <v>25.587428623962186</v>
      </c>
      <c r="F284" s="273">
        <f t="shared" si="29"/>
        <v>-0.5162526418524861</v>
      </c>
      <c r="G284" s="333">
        <f>'ERR &amp; Sensitivity Analysis'!$D$13</f>
        <v>84</v>
      </c>
      <c r="H284" s="332">
        <f>'ERR &amp; Sensitivity Analysis'!$D$14</f>
        <v>0.1</v>
      </c>
      <c r="I284" s="273">
        <f t="shared" si="30"/>
        <v>30.517600848</v>
      </c>
      <c r="J284" s="272">
        <f t="shared" si="31"/>
        <v>67.18383118919164</v>
      </c>
      <c r="K284" s="272">
        <f t="shared" si="32"/>
        <v>17.364435915820557</v>
      </c>
      <c r="L284" s="272">
        <f t="shared" si="33"/>
        <v>30.517600848</v>
      </c>
      <c r="M284" s="274">
        <f t="shared" si="34"/>
        <v>19.301794425371078</v>
      </c>
    </row>
    <row r="285" spans="2:13" ht="12.75">
      <c r="B285" s="271">
        <v>14.56</v>
      </c>
      <c r="C285" s="272">
        <v>1.665522</v>
      </c>
      <c r="D285" s="272">
        <v>1.665522</v>
      </c>
      <c r="E285" s="273">
        <f t="shared" si="28"/>
        <v>20.008012441972703</v>
      </c>
      <c r="F285" s="273">
        <f t="shared" si="29"/>
        <v>-0.6230753372735413</v>
      </c>
      <c r="G285" s="333">
        <f>'ERR &amp; Sensitivity Analysis'!$D$13</f>
        <v>84</v>
      </c>
      <c r="H285" s="332">
        <f>'ERR &amp; Sensitivity Analysis'!$D$14</f>
        <v>0.1</v>
      </c>
      <c r="I285" s="273">
        <f t="shared" si="30"/>
        <v>22.79400032</v>
      </c>
      <c r="J285" s="272">
        <f t="shared" si="31"/>
        <v>64.33646486432933</v>
      </c>
      <c r="K285" s="272">
        <f t="shared" si="32"/>
        <v>22.28562052490588</v>
      </c>
      <c r="L285" s="272">
        <f t="shared" si="33"/>
        <v>22.79400032</v>
      </c>
      <c r="M285" s="274">
        <f t="shared" si="34"/>
        <v>19.25684401942345</v>
      </c>
    </row>
    <row r="286" spans="2:13" ht="12.75">
      <c r="B286" s="271">
        <v>9.576</v>
      </c>
      <c r="C286" s="272">
        <v>1.696951</v>
      </c>
      <c r="D286" s="272">
        <v>1.696951</v>
      </c>
      <c r="E286" s="273">
        <f t="shared" si="28"/>
        <v>14.365775010920403</v>
      </c>
      <c r="F286" s="273">
        <f t="shared" si="29"/>
        <v>-0.7669502255990793</v>
      </c>
      <c r="G286" s="333">
        <f>'ERR &amp; Sensitivity Analysis'!$D$13</f>
        <v>84</v>
      </c>
      <c r="H286" s="332">
        <f>'ERR &amp; Sensitivity Analysis'!$D$14</f>
        <v>0.1</v>
      </c>
      <c r="I286" s="273">
        <f t="shared" si="30"/>
        <v>15.292402776000001</v>
      </c>
      <c r="J286" s="272">
        <f t="shared" si="31"/>
        <v>69.72760569184146</v>
      </c>
      <c r="K286" s="272">
        <f t="shared" si="32"/>
        <v>36.04380232331527</v>
      </c>
      <c r="L286" s="272">
        <f t="shared" si="33"/>
        <v>15.292402776000001</v>
      </c>
      <c r="M286" s="274">
        <f t="shared" si="34"/>
        <v>18.39140059252619</v>
      </c>
    </row>
    <row r="287" spans="2:13" ht="12.75">
      <c r="B287" s="271">
        <v>2.352</v>
      </c>
      <c r="C287" s="272">
        <v>1.70068</v>
      </c>
      <c r="D287" s="272">
        <v>1.70068</v>
      </c>
      <c r="E287" s="273">
        <f t="shared" si="28"/>
        <v>4.59668622444461</v>
      </c>
      <c r="F287" s="273">
        <f t="shared" si="29"/>
        <v>-1.2618344267847437</v>
      </c>
      <c r="G287" s="333">
        <f>'ERR &amp; Sensitivity Analysis'!$D$13</f>
        <v>84</v>
      </c>
      <c r="H287" s="332">
        <f>'ERR &amp; Sensitivity Analysis'!$D$14</f>
        <v>0.1</v>
      </c>
      <c r="I287" s="273">
        <f t="shared" si="30"/>
        <v>3.7647993599999996</v>
      </c>
      <c r="J287" s="272">
        <f t="shared" si="31"/>
        <v>-15.276827455880861</v>
      </c>
      <c r="K287" s="272">
        <f t="shared" si="32"/>
        <v>-32.08134279036465</v>
      </c>
      <c r="L287" s="272">
        <f t="shared" si="33"/>
        <v>3.7647993599999996</v>
      </c>
      <c r="M287" s="274">
        <f t="shared" si="34"/>
        <v>13.039715974483789</v>
      </c>
    </row>
    <row r="288" spans="2:13" ht="12.75">
      <c r="B288" s="271">
        <v>11.76</v>
      </c>
      <c r="C288" s="272">
        <v>1.70068</v>
      </c>
      <c r="D288" s="272">
        <v>1.70068</v>
      </c>
      <c r="E288" s="273">
        <f t="shared" si="28"/>
        <v>16.999089230340388</v>
      </c>
      <c r="F288" s="273">
        <f t="shared" si="29"/>
        <v>-0.6938536324973348</v>
      </c>
      <c r="G288" s="333">
        <f>'ERR &amp; Sensitivity Analysis'!$D$13</f>
        <v>84</v>
      </c>
      <c r="H288" s="332">
        <f>'ERR &amp; Sensitivity Analysis'!$D$14</f>
        <v>0.1</v>
      </c>
      <c r="I288" s="273">
        <f t="shared" si="30"/>
        <v>18.8239968</v>
      </c>
      <c r="J288" s="272">
        <f t="shared" si="31"/>
        <v>65.32821853529225</v>
      </c>
      <c r="K288" s="272">
        <f t="shared" si="32"/>
        <v>27.43785617487973</v>
      </c>
      <c r="L288" s="272">
        <f t="shared" si="33"/>
        <v>18.8239968</v>
      </c>
      <c r="M288" s="274">
        <f t="shared" si="34"/>
        <v>19.066365560412525</v>
      </c>
    </row>
    <row r="289" spans="2:13" ht="12.75">
      <c r="B289" s="271">
        <v>14</v>
      </c>
      <c r="C289" s="272">
        <v>1.714286</v>
      </c>
      <c r="D289" s="272">
        <v>1.714286</v>
      </c>
      <c r="E289" s="273">
        <f t="shared" si="28"/>
        <v>19.66659862243619</v>
      </c>
      <c r="F289" s="273">
        <f t="shared" si="29"/>
        <v>-0.630550031747109</v>
      </c>
      <c r="G289" s="333">
        <f>'ERR &amp; Sensitivity Analysis'!$D$13</f>
        <v>84</v>
      </c>
      <c r="H289" s="332">
        <f>'ERR &amp; Sensitivity Analysis'!$D$14</f>
        <v>0.1</v>
      </c>
      <c r="I289" s="273">
        <f t="shared" si="30"/>
        <v>22.600004</v>
      </c>
      <c r="J289" s="272">
        <f t="shared" si="31"/>
        <v>64.96144556053079</v>
      </c>
      <c r="K289" s="272">
        <f t="shared" si="32"/>
        <v>22.73650215676875</v>
      </c>
      <c r="L289" s="272">
        <f t="shared" si="33"/>
        <v>22.600004</v>
      </c>
      <c r="M289" s="274">
        <f t="shared" si="34"/>
        <v>19.624939403762042</v>
      </c>
    </row>
    <row r="290" spans="2:13" ht="12.75">
      <c r="B290" s="271">
        <v>19.152</v>
      </c>
      <c r="C290" s="272">
        <v>1.717836</v>
      </c>
      <c r="D290" s="272">
        <v>1.717836</v>
      </c>
      <c r="E290" s="273">
        <f t="shared" si="28"/>
        <v>25.373522932020652</v>
      </c>
      <c r="F290" s="273">
        <f t="shared" si="29"/>
        <v>-0.5198985159738642</v>
      </c>
      <c r="G290" s="333">
        <f>'ERR &amp; Sensitivity Analysis'!$D$13</f>
        <v>84</v>
      </c>
      <c r="H290" s="332">
        <f>'ERR &amp; Sensitivity Analysis'!$D$14</f>
        <v>0.1</v>
      </c>
      <c r="I290" s="273">
        <f t="shared" si="30"/>
        <v>30.984795071999997</v>
      </c>
      <c r="J290" s="272">
        <f t="shared" si="31"/>
        <v>68.52716803976591</v>
      </c>
      <c r="K290" s="272">
        <f t="shared" si="32"/>
        <v>17.49630084364147</v>
      </c>
      <c r="L290" s="272">
        <f t="shared" si="33"/>
        <v>30.984795071999997</v>
      </c>
      <c r="M290" s="274">
        <f t="shared" si="34"/>
        <v>20.046072124124443</v>
      </c>
    </row>
    <row r="291" spans="2:13" ht="12.75">
      <c r="B291" s="271">
        <v>15.12</v>
      </c>
      <c r="C291" s="272">
        <v>1.719577</v>
      </c>
      <c r="D291" s="272">
        <v>1.719577</v>
      </c>
      <c r="E291" s="273">
        <f t="shared" si="28"/>
        <v>20.963648588615925</v>
      </c>
      <c r="F291" s="273">
        <f t="shared" si="29"/>
        <v>-0.6028124150019477</v>
      </c>
      <c r="G291" s="333">
        <f>'ERR &amp; Sensitivity Analysis'!$D$13</f>
        <v>84</v>
      </c>
      <c r="H291" s="332">
        <f>'ERR &amp; Sensitivity Analysis'!$D$14</f>
        <v>0.1</v>
      </c>
      <c r="I291" s="273">
        <f t="shared" si="30"/>
        <v>24.488004239999995</v>
      </c>
      <c r="J291" s="272">
        <f t="shared" si="31"/>
        <v>65.46026417247532</v>
      </c>
      <c r="K291" s="272">
        <f t="shared" si="32"/>
        <v>21.14869728378139</v>
      </c>
      <c r="L291" s="272">
        <f t="shared" si="33"/>
        <v>24.488004239999995</v>
      </c>
      <c r="M291" s="274">
        <f t="shared" si="34"/>
        <v>19.823562648693937</v>
      </c>
    </row>
    <row r="292" spans="2:13" ht="12.75">
      <c r="B292" s="271">
        <v>12.768</v>
      </c>
      <c r="C292" s="272">
        <v>1.723058</v>
      </c>
      <c r="D292" s="272">
        <v>1.723058</v>
      </c>
      <c r="E292" s="273">
        <f t="shared" si="28"/>
        <v>18.30210370017142</v>
      </c>
      <c r="F292" s="273">
        <f t="shared" si="29"/>
        <v>-0.6617782743168862</v>
      </c>
      <c r="G292" s="333">
        <f>'ERR &amp; Sensitivity Analysis'!$D$13</f>
        <v>84</v>
      </c>
      <c r="H292" s="332">
        <f>'ERR &amp; Sensitivity Analysis'!$D$14</f>
        <v>0.1</v>
      </c>
      <c r="I292" s="273">
        <f t="shared" si="30"/>
        <v>20.723204544</v>
      </c>
      <c r="J292" s="272">
        <f t="shared" si="31"/>
        <v>65.04610104382299</v>
      </c>
      <c r="K292" s="272">
        <f t="shared" si="32"/>
        <v>24.83577890519699</v>
      </c>
      <c r="L292" s="272">
        <f t="shared" si="33"/>
        <v>20.723204544</v>
      </c>
      <c r="M292" s="274">
        <f t="shared" si="34"/>
        <v>19.487117594625996</v>
      </c>
    </row>
    <row r="293" spans="2:13" ht="12.75">
      <c r="B293" s="271">
        <v>3.472</v>
      </c>
      <c r="C293" s="272">
        <v>1.728111</v>
      </c>
      <c r="D293" s="272">
        <v>1.728111</v>
      </c>
      <c r="E293" s="273">
        <f t="shared" si="28"/>
        <v>6.400338468742601</v>
      </c>
      <c r="F293" s="273">
        <f t="shared" si="29"/>
        <v>-1.1180763446998114</v>
      </c>
      <c r="G293" s="333">
        <f>'ERR &amp; Sensitivity Analysis'!$D$13</f>
        <v>84</v>
      </c>
      <c r="H293" s="332">
        <f>'ERR &amp; Sensitivity Analysis'!$D$14</f>
        <v>0.1</v>
      </c>
      <c r="I293" s="273">
        <f t="shared" si="30"/>
        <v>5.652801392</v>
      </c>
      <c r="J293" s="272">
        <f t="shared" si="31"/>
        <v>-50.81459294199833</v>
      </c>
      <c r="K293" s="272">
        <f t="shared" si="32"/>
        <v>-71.14041361422173</v>
      </c>
      <c r="L293" s="272">
        <f t="shared" si="33"/>
        <v>5.652801392</v>
      </c>
      <c r="M293" s="274">
        <f t="shared" si="34"/>
        <v>14.6730192802234</v>
      </c>
    </row>
    <row r="294" spans="2:13" ht="12.75">
      <c r="B294" s="271">
        <v>12.768</v>
      </c>
      <c r="C294" s="272">
        <v>1.762218</v>
      </c>
      <c r="D294" s="272">
        <v>1.762218</v>
      </c>
      <c r="E294" s="273">
        <f t="shared" si="28"/>
        <v>18.521850586500058</v>
      </c>
      <c r="F294" s="273">
        <f t="shared" si="29"/>
        <v>-0.6565949095824009</v>
      </c>
      <c r="G294" s="333">
        <f>'ERR &amp; Sensitivity Analysis'!$D$13</f>
        <v>84</v>
      </c>
      <c r="H294" s="332">
        <f>'ERR &amp; Sensitivity Analysis'!$D$14</f>
        <v>0.1</v>
      </c>
      <c r="I294" s="273">
        <f t="shared" si="30"/>
        <v>21.223199424</v>
      </c>
      <c r="J294" s="272">
        <f t="shared" si="31"/>
        <v>65.52028508557864</v>
      </c>
      <c r="K294" s="272">
        <f t="shared" si="32"/>
        <v>24.460907058148578</v>
      </c>
      <c r="L294" s="272">
        <f t="shared" si="33"/>
        <v>21.223199424</v>
      </c>
      <c r="M294" s="274">
        <f t="shared" si="34"/>
        <v>19.836178603430056</v>
      </c>
    </row>
    <row r="295" spans="2:13" ht="12.75">
      <c r="B295" s="271">
        <v>1.12</v>
      </c>
      <c r="C295" s="272">
        <v>1.785714</v>
      </c>
      <c r="D295" s="272">
        <v>1.785714</v>
      </c>
      <c r="E295" s="273">
        <f t="shared" si="28"/>
        <v>2.669325180998137</v>
      </c>
      <c r="F295" s="273">
        <f t="shared" si="29"/>
        <v>-1.4978778026787622</v>
      </c>
      <c r="G295" s="333">
        <f>'ERR &amp; Sensitivity Analysis'!$D$13</f>
        <v>84</v>
      </c>
      <c r="H295" s="332">
        <f>'ERR &amp; Sensitivity Analysis'!$D$14</f>
        <v>0.1</v>
      </c>
      <c r="I295" s="273">
        <f t="shared" si="30"/>
        <v>1.88799968</v>
      </c>
      <c r="J295" s="272">
        <f t="shared" si="31"/>
        <v>-4.017049302538254</v>
      </c>
      <c r="K295" s="272">
        <f t="shared" si="32"/>
        <v>-16.87160977011823</v>
      </c>
      <c r="L295" s="272">
        <f t="shared" si="33"/>
        <v>1.88799968</v>
      </c>
      <c r="M295" s="274">
        <f t="shared" si="34"/>
        <v>10.966560787579976</v>
      </c>
    </row>
    <row r="296" spans="2:13" ht="12.75">
      <c r="B296" s="271">
        <v>2.24</v>
      </c>
      <c r="C296" s="272">
        <v>1.785714</v>
      </c>
      <c r="D296" s="272">
        <v>1.785714</v>
      </c>
      <c r="E296" s="273">
        <f t="shared" si="28"/>
        <v>4.6438363352473955</v>
      </c>
      <c r="F296" s="273">
        <f t="shared" si="29"/>
        <v>-1.257402380755779</v>
      </c>
      <c r="G296" s="333">
        <f>'ERR &amp; Sensitivity Analysis'!$D$13</f>
        <v>84</v>
      </c>
      <c r="H296" s="332">
        <f>'ERR &amp; Sensitivity Analysis'!$D$14</f>
        <v>0.1</v>
      </c>
      <c r="I296" s="273">
        <f t="shared" si="30"/>
        <v>3.77599936</v>
      </c>
      <c r="J296" s="272">
        <f t="shared" si="31"/>
        <v>-15.539869321547426</v>
      </c>
      <c r="K296" s="272">
        <f t="shared" si="32"/>
        <v>-32.633730796646546</v>
      </c>
      <c r="L296" s="272">
        <f t="shared" si="33"/>
        <v>3.77599936</v>
      </c>
      <c r="M296" s="274">
        <f t="shared" si="34"/>
        <v>13.317862115099118</v>
      </c>
    </row>
    <row r="297" spans="2:13" ht="12.75">
      <c r="B297" s="271">
        <v>3.36</v>
      </c>
      <c r="C297" s="272">
        <v>1.785714</v>
      </c>
      <c r="D297" s="272">
        <v>1.785714</v>
      </c>
      <c r="E297" s="273">
        <f t="shared" si="28"/>
        <v>6.420162335763159</v>
      </c>
      <c r="F297" s="273">
        <f t="shared" si="29"/>
        <v>-1.1167332765857354</v>
      </c>
      <c r="G297" s="333">
        <f>'ERR &amp; Sensitivity Analysis'!$D$13</f>
        <v>84</v>
      </c>
      <c r="H297" s="332">
        <f>'ERR &amp; Sensitivity Analysis'!$D$14</f>
        <v>0.1</v>
      </c>
      <c r="I297" s="273">
        <f t="shared" si="30"/>
        <v>5.663999039999999</v>
      </c>
      <c r="J297" s="272">
        <f t="shared" si="31"/>
        <v>-51.39921721972112</v>
      </c>
      <c r="K297" s="272">
        <f t="shared" si="32"/>
        <v>-71.9589156210361</v>
      </c>
      <c r="L297" s="272">
        <f t="shared" si="33"/>
        <v>5.663999039999999</v>
      </c>
      <c r="M297" s="274">
        <f t="shared" si="34"/>
        <v>14.895699361314975</v>
      </c>
    </row>
    <row r="298" spans="2:13" ht="12.75">
      <c r="B298" s="271">
        <v>3.36</v>
      </c>
      <c r="C298" s="272">
        <v>1.785714</v>
      </c>
      <c r="D298" s="272">
        <v>1.785714</v>
      </c>
      <c r="E298" s="273">
        <f t="shared" si="28"/>
        <v>6.420162335763159</v>
      </c>
      <c r="F298" s="273">
        <f t="shared" si="29"/>
        <v>-1.1167332765857354</v>
      </c>
      <c r="G298" s="333">
        <f>'ERR &amp; Sensitivity Analysis'!$D$13</f>
        <v>84</v>
      </c>
      <c r="H298" s="332">
        <f>'ERR &amp; Sensitivity Analysis'!$D$14</f>
        <v>0.1</v>
      </c>
      <c r="I298" s="273">
        <f t="shared" si="30"/>
        <v>5.663999039999999</v>
      </c>
      <c r="J298" s="272">
        <f t="shared" si="31"/>
        <v>-51.39921721972112</v>
      </c>
      <c r="K298" s="272">
        <f t="shared" si="32"/>
        <v>-71.9589156210361</v>
      </c>
      <c r="L298" s="272">
        <f t="shared" si="33"/>
        <v>5.663999039999999</v>
      </c>
      <c r="M298" s="274">
        <f t="shared" si="34"/>
        <v>14.895699361314975</v>
      </c>
    </row>
    <row r="299" spans="2:13" ht="12.75">
      <c r="B299" s="271">
        <v>3.36</v>
      </c>
      <c r="C299" s="272">
        <v>1.785714</v>
      </c>
      <c r="D299" s="272">
        <v>1.785714</v>
      </c>
      <c r="E299" s="273">
        <f t="shared" si="28"/>
        <v>6.420162335763159</v>
      </c>
      <c r="F299" s="273">
        <f t="shared" si="29"/>
        <v>-1.1167332765857354</v>
      </c>
      <c r="G299" s="333">
        <f>'ERR &amp; Sensitivity Analysis'!$D$13</f>
        <v>84</v>
      </c>
      <c r="H299" s="332">
        <f>'ERR &amp; Sensitivity Analysis'!$D$14</f>
        <v>0.1</v>
      </c>
      <c r="I299" s="273">
        <f t="shared" si="30"/>
        <v>5.663999039999999</v>
      </c>
      <c r="J299" s="272">
        <f t="shared" si="31"/>
        <v>-51.39921721972112</v>
      </c>
      <c r="K299" s="272">
        <f t="shared" si="32"/>
        <v>-71.9589156210361</v>
      </c>
      <c r="L299" s="272">
        <f t="shared" si="33"/>
        <v>5.663999039999999</v>
      </c>
      <c r="M299" s="274">
        <f t="shared" si="34"/>
        <v>14.895699361314975</v>
      </c>
    </row>
    <row r="300" spans="2:13" ht="12.75">
      <c r="B300" s="271">
        <v>3.36</v>
      </c>
      <c r="C300" s="272">
        <v>1.785714</v>
      </c>
      <c r="D300" s="272">
        <v>1.785714</v>
      </c>
      <c r="E300" s="273">
        <f t="shared" si="28"/>
        <v>6.420162335763159</v>
      </c>
      <c r="F300" s="273">
        <f t="shared" si="29"/>
        <v>-1.1167332765857354</v>
      </c>
      <c r="G300" s="333">
        <f>'ERR &amp; Sensitivity Analysis'!$D$13</f>
        <v>84</v>
      </c>
      <c r="H300" s="332">
        <f>'ERR &amp; Sensitivity Analysis'!$D$14</f>
        <v>0.1</v>
      </c>
      <c r="I300" s="273">
        <f t="shared" si="30"/>
        <v>5.663999039999999</v>
      </c>
      <c r="J300" s="272">
        <f t="shared" si="31"/>
        <v>-51.39921721972112</v>
      </c>
      <c r="K300" s="272">
        <f t="shared" si="32"/>
        <v>-71.9589156210361</v>
      </c>
      <c r="L300" s="272">
        <f t="shared" si="33"/>
        <v>5.663999039999999</v>
      </c>
      <c r="M300" s="274">
        <f t="shared" si="34"/>
        <v>14.895699361314975</v>
      </c>
    </row>
    <row r="301" spans="2:13" ht="12.75">
      <c r="B301" s="271">
        <v>16.8</v>
      </c>
      <c r="C301" s="272">
        <v>1.785714</v>
      </c>
      <c r="D301" s="272">
        <v>1.785714</v>
      </c>
      <c r="E301" s="273">
        <f t="shared" si="28"/>
        <v>23.222696574775842</v>
      </c>
      <c r="F301" s="273">
        <f t="shared" si="29"/>
        <v>-0.5583666382928677</v>
      </c>
      <c r="G301" s="333">
        <f>'ERR &amp; Sensitivity Analysis'!$D$13</f>
        <v>84</v>
      </c>
      <c r="H301" s="332">
        <f>'ERR &amp; Sensitivity Analysis'!$D$14</f>
        <v>0.1</v>
      </c>
      <c r="I301" s="273">
        <f t="shared" si="30"/>
        <v>28.3199952</v>
      </c>
      <c r="J301" s="272">
        <f t="shared" si="31"/>
        <v>67.92963983525866</v>
      </c>
      <c r="K301" s="272">
        <f t="shared" si="32"/>
        <v>19.02030219712078</v>
      </c>
      <c r="L301" s="272">
        <f t="shared" si="33"/>
        <v>28.3199952</v>
      </c>
      <c r="M301" s="274">
        <f t="shared" si="34"/>
        <v>20.58934243813787</v>
      </c>
    </row>
    <row r="302" spans="2:13" ht="12.75">
      <c r="B302" s="271">
        <v>3.304</v>
      </c>
      <c r="C302" s="272">
        <v>1.815981</v>
      </c>
      <c r="D302" s="272">
        <v>1.815981</v>
      </c>
      <c r="E302" s="273">
        <f t="shared" si="28"/>
        <v>6.430176120825063</v>
      </c>
      <c r="F302" s="273">
        <f t="shared" si="29"/>
        <v>-1.1160564177636367</v>
      </c>
      <c r="G302" s="333">
        <f>'ERR &amp; Sensitivity Analysis'!$D$13</f>
        <v>84</v>
      </c>
      <c r="H302" s="332">
        <f>'ERR &amp; Sensitivity Analysis'!$D$14</f>
        <v>0.1</v>
      </c>
      <c r="I302" s="273">
        <f t="shared" si="30"/>
        <v>5.669601224</v>
      </c>
      <c r="J302" s="272">
        <f t="shared" si="31"/>
        <v>-51.699004153477716</v>
      </c>
      <c r="K302" s="272">
        <f t="shared" si="32"/>
        <v>-72.37859104963621</v>
      </c>
      <c r="L302" s="272">
        <f t="shared" si="33"/>
        <v>5.669601224</v>
      </c>
      <c r="M302" s="274">
        <f t="shared" si="34"/>
        <v>15.009985672158496</v>
      </c>
    </row>
    <row r="303" spans="2:13" ht="12.75">
      <c r="B303" s="271">
        <v>9.912</v>
      </c>
      <c r="C303" s="272">
        <v>1.815981</v>
      </c>
      <c r="D303" s="272">
        <v>1.815981</v>
      </c>
      <c r="E303" s="273">
        <f t="shared" si="28"/>
        <v>15.38713627499287</v>
      </c>
      <c r="F303" s="273">
        <f t="shared" si="29"/>
        <v>-0.7371214859636466</v>
      </c>
      <c r="G303" s="333">
        <f>'ERR &amp; Sensitivity Analysis'!$D$13</f>
        <v>84</v>
      </c>
      <c r="H303" s="332">
        <f>'ERR &amp; Sensitivity Analysis'!$D$14</f>
        <v>0.1</v>
      </c>
      <c r="I303" s="273">
        <f t="shared" si="30"/>
        <v>17.008803672000003</v>
      </c>
      <c r="J303" s="272">
        <f t="shared" si="31"/>
        <v>68.4727077752379</v>
      </c>
      <c r="K303" s="272">
        <f t="shared" si="32"/>
        <v>31.95392377651056</v>
      </c>
      <c r="L303" s="272">
        <f t="shared" si="33"/>
        <v>17.008803672000003</v>
      </c>
      <c r="M303" s="274">
        <f t="shared" si="34"/>
        <v>19.509980326727327</v>
      </c>
    </row>
    <row r="304" spans="2:13" ht="12.75">
      <c r="B304" s="271">
        <v>10.08</v>
      </c>
      <c r="C304" s="272">
        <v>1.835317</v>
      </c>
      <c r="D304" s="272">
        <v>1.835317</v>
      </c>
      <c r="E304" s="273">
        <f t="shared" si="28"/>
        <v>15.689781154369706</v>
      </c>
      <c r="F304" s="273">
        <f t="shared" si="29"/>
        <v>-0.7286624000984294</v>
      </c>
      <c r="G304" s="333">
        <f>'ERR &amp; Sensitivity Analysis'!$D$13</f>
        <v>84</v>
      </c>
      <c r="H304" s="332">
        <f>'ERR &amp; Sensitivity Analysis'!$D$14</f>
        <v>0.1</v>
      </c>
      <c r="I304" s="273">
        <f t="shared" si="30"/>
        <v>17.49199536</v>
      </c>
      <c r="J304" s="272">
        <f t="shared" si="31"/>
        <v>68.18072897641532</v>
      </c>
      <c r="K304" s="272">
        <f t="shared" si="32"/>
        <v>30.957744164639013</v>
      </c>
      <c r="L304" s="272">
        <f t="shared" si="33"/>
        <v>17.49199536</v>
      </c>
      <c r="M304" s="274">
        <f t="shared" si="34"/>
        <v>19.730989451776313</v>
      </c>
    </row>
    <row r="305" spans="2:13" ht="12.75">
      <c r="B305" s="271">
        <v>12.768</v>
      </c>
      <c r="C305" s="272">
        <v>1.840539</v>
      </c>
      <c r="D305" s="272">
        <v>1.840539</v>
      </c>
      <c r="E305" s="273">
        <f t="shared" si="28"/>
        <v>18.944677432086763</v>
      </c>
      <c r="F305" s="273">
        <f t="shared" si="29"/>
        <v>-0.646792071048779</v>
      </c>
      <c r="G305" s="333">
        <f>'ERR &amp; Sensitivity Analysis'!$D$13</f>
        <v>84</v>
      </c>
      <c r="H305" s="332">
        <f>'ERR &amp; Sensitivity Analysis'!$D$14</f>
        <v>0.1</v>
      </c>
      <c r="I305" s="273">
        <f t="shared" si="30"/>
        <v>22.223201952</v>
      </c>
      <c r="J305" s="272">
        <f t="shared" si="31"/>
        <v>66.53305326915641</v>
      </c>
      <c r="K305" s="272">
        <f t="shared" si="32"/>
        <v>23.782025576102132</v>
      </c>
      <c r="L305" s="272">
        <f t="shared" si="33"/>
        <v>22.223201952</v>
      </c>
      <c r="M305" s="274">
        <f t="shared" si="34"/>
        <v>20.527825741054283</v>
      </c>
    </row>
    <row r="306" spans="2:13" ht="12.75">
      <c r="B306" s="271">
        <v>16.8</v>
      </c>
      <c r="C306" s="272">
        <v>1.845238</v>
      </c>
      <c r="D306" s="272">
        <v>1.845238</v>
      </c>
      <c r="E306" s="273">
        <f t="shared" si="28"/>
        <v>23.56096772526239</v>
      </c>
      <c r="F306" s="273">
        <f t="shared" si="29"/>
        <v>-0.5520861616993538</v>
      </c>
      <c r="G306" s="333">
        <f>'ERR &amp; Sensitivity Analysis'!$D$13</f>
        <v>84</v>
      </c>
      <c r="H306" s="332">
        <f>'ERR &amp; Sensitivity Analysis'!$D$14</f>
        <v>0.1</v>
      </c>
      <c r="I306" s="273">
        <f t="shared" si="30"/>
        <v>29.3199984</v>
      </c>
      <c r="J306" s="272">
        <f t="shared" si="31"/>
        <v>69.20973577778224</v>
      </c>
      <c r="K306" s="272">
        <f t="shared" si="32"/>
        <v>18.75360679158522</v>
      </c>
      <c r="L306" s="272">
        <f t="shared" si="33"/>
        <v>29.3199984</v>
      </c>
      <c r="M306" s="274">
        <f t="shared" si="34"/>
        <v>21.136130586197023</v>
      </c>
    </row>
    <row r="307" spans="2:13" ht="12.75">
      <c r="B307" s="271">
        <v>13.216</v>
      </c>
      <c r="C307" s="272">
        <v>1.846247</v>
      </c>
      <c r="D307" s="272">
        <v>1.846247</v>
      </c>
      <c r="E307" s="273">
        <f t="shared" si="28"/>
        <v>19.49852172597568</v>
      </c>
      <c r="F307" s="273">
        <f t="shared" si="29"/>
        <v>-0.6342775993448834</v>
      </c>
      <c r="G307" s="333">
        <f>'ERR &amp; Sensitivity Analysis'!$D$13</f>
        <v>84</v>
      </c>
      <c r="H307" s="332">
        <f>'ERR &amp; Sensitivity Analysis'!$D$14</f>
        <v>0.1</v>
      </c>
      <c r="I307" s="273">
        <f t="shared" si="30"/>
        <v>23.078400351999996</v>
      </c>
      <c r="J307" s="272">
        <f t="shared" si="31"/>
        <v>66.71727055354663</v>
      </c>
      <c r="K307" s="272">
        <f t="shared" si="32"/>
        <v>22.96824035102341</v>
      </c>
      <c r="L307" s="272">
        <f t="shared" si="33"/>
        <v>23.078400351999996</v>
      </c>
      <c r="M307" s="274">
        <f t="shared" si="34"/>
        <v>20.67062985052322</v>
      </c>
    </row>
    <row r="308" spans="2:13" ht="12.75">
      <c r="B308" s="271">
        <v>2.1476</v>
      </c>
      <c r="C308" s="272">
        <v>1.862544</v>
      </c>
      <c r="D308" s="272">
        <v>1.862544</v>
      </c>
      <c r="E308" s="273">
        <f t="shared" si="28"/>
        <v>4.683651204802909</v>
      </c>
      <c r="F308" s="273">
        <f t="shared" si="29"/>
        <v>-1.2536947407097376</v>
      </c>
      <c r="G308" s="333">
        <f>'ERR &amp; Sensitivity Analysis'!$D$13</f>
        <v>84</v>
      </c>
      <c r="H308" s="332">
        <f>'ERR &amp; Sensitivity Analysis'!$D$14</f>
        <v>0.1</v>
      </c>
      <c r="I308" s="273">
        <f t="shared" si="30"/>
        <v>3.7852394944</v>
      </c>
      <c r="J308" s="272">
        <f t="shared" si="31"/>
        <v>-15.766978389893236</v>
      </c>
      <c r="K308" s="272">
        <f t="shared" si="32"/>
        <v>-33.11065880396306</v>
      </c>
      <c r="L308" s="272">
        <f t="shared" si="33"/>
        <v>3.7852394944</v>
      </c>
      <c r="M308" s="274">
        <f t="shared" si="34"/>
        <v>13.558440919669827</v>
      </c>
    </row>
    <row r="309" spans="2:13" ht="12.75">
      <c r="B309" s="271">
        <v>3.192</v>
      </c>
      <c r="C309" s="272">
        <v>1.879699</v>
      </c>
      <c r="D309" s="272">
        <v>1.879699</v>
      </c>
      <c r="E309" s="273">
        <f t="shared" si="28"/>
        <v>6.450405338824624</v>
      </c>
      <c r="F309" s="273">
        <f t="shared" si="29"/>
        <v>-1.114692279816735</v>
      </c>
      <c r="G309" s="333">
        <f>'ERR &amp; Sensitivity Analysis'!$D$13</f>
        <v>84</v>
      </c>
      <c r="H309" s="332">
        <f>'ERR &amp; Sensitivity Analysis'!$D$14</f>
        <v>0.1</v>
      </c>
      <c r="I309" s="273">
        <f t="shared" si="30"/>
        <v>5.680799208</v>
      </c>
      <c r="J309" s="272">
        <f t="shared" si="31"/>
        <v>-52.31388910907787</v>
      </c>
      <c r="K309" s="272">
        <f t="shared" si="32"/>
        <v>-73.23945442031697</v>
      </c>
      <c r="L309" s="272">
        <f t="shared" si="33"/>
        <v>5.680799208</v>
      </c>
      <c r="M309" s="274">
        <f t="shared" si="34"/>
        <v>15.244766103239105</v>
      </c>
    </row>
    <row r="310" spans="2:13" ht="12.75">
      <c r="B310" s="271">
        <v>3.192</v>
      </c>
      <c r="C310" s="272">
        <v>1.879699</v>
      </c>
      <c r="D310" s="272">
        <v>1.879699</v>
      </c>
      <c r="E310" s="273">
        <f t="shared" si="28"/>
        <v>6.450405338824624</v>
      </c>
      <c r="F310" s="273">
        <f t="shared" si="29"/>
        <v>-1.114692279816735</v>
      </c>
      <c r="G310" s="333">
        <f>'ERR &amp; Sensitivity Analysis'!$D$13</f>
        <v>84</v>
      </c>
      <c r="H310" s="332">
        <f>'ERR &amp; Sensitivity Analysis'!$D$14</f>
        <v>0.1</v>
      </c>
      <c r="I310" s="273">
        <f t="shared" si="30"/>
        <v>5.680799208</v>
      </c>
      <c r="J310" s="272">
        <f t="shared" si="31"/>
        <v>-52.31388910907787</v>
      </c>
      <c r="K310" s="272">
        <f t="shared" si="32"/>
        <v>-73.23945442031697</v>
      </c>
      <c r="L310" s="272">
        <f t="shared" si="33"/>
        <v>5.680799208</v>
      </c>
      <c r="M310" s="274">
        <f t="shared" si="34"/>
        <v>15.244766103239105</v>
      </c>
    </row>
    <row r="311" spans="2:13" ht="12.75">
      <c r="B311" s="271">
        <v>3.192</v>
      </c>
      <c r="C311" s="272">
        <v>1.879699</v>
      </c>
      <c r="D311" s="272">
        <v>1.879699</v>
      </c>
      <c r="E311" s="273">
        <f t="shared" si="28"/>
        <v>6.450405338824624</v>
      </c>
      <c r="F311" s="273">
        <f t="shared" si="29"/>
        <v>-1.114692279816735</v>
      </c>
      <c r="G311" s="333">
        <f>'ERR &amp; Sensitivity Analysis'!$D$13</f>
        <v>84</v>
      </c>
      <c r="H311" s="332">
        <f>'ERR &amp; Sensitivity Analysis'!$D$14</f>
        <v>0.1</v>
      </c>
      <c r="I311" s="273">
        <f t="shared" si="30"/>
        <v>5.680799208</v>
      </c>
      <c r="J311" s="272">
        <f t="shared" si="31"/>
        <v>-52.31388910907787</v>
      </c>
      <c r="K311" s="272">
        <f t="shared" si="32"/>
        <v>-73.23945442031697</v>
      </c>
      <c r="L311" s="272">
        <f t="shared" si="33"/>
        <v>5.680799208</v>
      </c>
      <c r="M311" s="274">
        <f t="shared" si="34"/>
        <v>15.244766103239105</v>
      </c>
    </row>
    <row r="312" spans="2:13" ht="12.75">
      <c r="B312" s="271">
        <v>6.384</v>
      </c>
      <c r="C312" s="272">
        <v>1.879699</v>
      </c>
      <c r="D312" s="272">
        <v>1.879699</v>
      </c>
      <c r="E312" s="273">
        <f t="shared" si="28"/>
        <v>11.113680549166958</v>
      </c>
      <c r="F312" s="273">
        <f t="shared" si="29"/>
        <v>-0.8784213767624148</v>
      </c>
      <c r="G312" s="333">
        <f>'ERR &amp; Sensitivity Analysis'!$D$13</f>
        <v>84</v>
      </c>
      <c r="H312" s="332">
        <f>'ERR &amp; Sensitivity Analysis'!$D$14</f>
        <v>0.1</v>
      </c>
      <c r="I312" s="273">
        <f t="shared" si="30"/>
        <v>11.361598416</v>
      </c>
      <c r="J312" s="272">
        <f t="shared" si="31"/>
        <v>98.70154881216227</v>
      </c>
      <c r="K312" s="272">
        <f t="shared" si="32"/>
        <v>69.09109328853793</v>
      </c>
      <c r="L312" s="272">
        <f t="shared" si="33"/>
        <v>11.361598416</v>
      </c>
      <c r="M312" s="274">
        <f t="shared" si="34"/>
        <v>18.24885710762434</v>
      </c>
    </row>
    <row r="313" spans="2:13" ht="12.75">
      <c r="B313" s="271">
        <v>6.384</v>
      </c>
      <c r="C313" s="272">
        <v>1.879699</v>
      </c>
      <c r="D313" s="272">
        <v>1.879699</v>
      </c>
      <c r="E313" s="273">
        <f t="shared" si="28"/>
        <v>11.113680549166958</v>
      </c>
      <c r="F313" s="273">
        <f t="shared" si="29"/>
        <v>-0.8784213767624148</v>
      </c>
      <c r="G313" s="333">
        <f>'ERR &amp; Sensitivity Analysis'!$D$13</f>
        <v>84</v>
      </c>
      <c r="H313" s="332">
        <f>'ERR &amp; Sensitivity Analysis'!$D$14</f>
        <v>0.1</v>
      </c>
      <c r="I313" s="273">
        <f t="shared" si="30"/>
        <v>11.361598416</v>
      </c>
      <c r="J313" s="272">
        <f t="shared" si="31"/>
        <v>98.70154881216227</v>
      </c>
      <c r="K313" s="272">
        <f t="shared" si="32"/>
        <v>69.09109328853793</v>
      </c>
      <c r="L313" s="272">
        <f t="shared" si="33"/>
        <v>11.361598416</v>
      </c>
      <c r="M313" s="274">
        <f t="shared" si="34"/>
        <v>18.24885710762434</v>
      </c>
    </row>
    <row r="314" spans="2:13" ht="12.75">
      <c r="B314" s="271">
        <v>6.384</v>
      </c>
      <c r="C314" s="272">
        <v>1.879699</v>
      </c>
      <c r="D314" s="272">
        <v>1.879699</v>
      </c>
      <c r="E314" s="273">
        <f t="shared" si="28"/>
        <v>11.113680549166958</v>
      </c>
      <c r="F314" s="273">
        <f t="shared" si="29"/>
        <v>-0.8784213767624148</v>
      </c>
      <c r="G314" s="333">
        <f>'ERR &amp; Sensitivity Analysis'!$D$13</f>
        <v>84</v>
      </c>
      <c r="H314" s="332">
        <f>'ERR &amp; Sensitivity Analysis'!$D$14</f>
        <v>0.1</v>
      </c>
      <c r="I314" s="273">
        <f t="shared" si="30"/>
        <v>11.361598416</v>
      </c>
      <c r="J314" s="272">
        <f t="shared" si="31"/>
        <v>98.70154881216227</v>
      </c>
      <c r="K314" s="272">
        <f t="shared" si="32"/>
        <v>69.09109328853793</v>
      </c>
      <c r="L314" s="272">
        <f t="shared" si="33"/>
        <v>11.361598416</v>
      </c>
      <c r="M314" s="274">
        <f t="shared" si="34"/>
        <v>18.24885710762434</v>
      </c>
    </row>
    <row r="315" spans="2:13" ht="12.75">
      <c r="B315" s="271">
        <v>4.2</v>
      </c>
      <c r="C315" s="272">
        <v>1.904762</v>
      </c>
      <c r="D315" s="272">
        <v>1.904762</v>
      </c>
      <c r="E315" s="273">
        <f t="shared" si="28"/>
        <v>8.085802009246718</v>
      </c>
      <c r="F315" s="273">
        <f t="shared" si="29"/>
        <v>-1.0165561831656793</v>
      </c>
      <c r="G315" s="333">
        <f>'ERR &amp; Sensitivity Analysis'!$D$13</f>
        <v>84</v>
      </c>
      <c r="H315" s="332">
        <f>'ERR &amp; Sensitivity Analysis'!$D$14</f>
        <v>0.1</v>
      </c>
      <c r="I315" s="273">
        <f t="shared" si="30"/>
        <v>7.5800004</v>
      </c>
      <c r="J315" s="272">
        <f t="shared" si="31"/>
        <v>-483.20318275916816</v>
      </c>
      <c r="K315" s="272">
        <f t="shared" si="32"/>
        <v>-507.3633165289607</v>
      </c>
      <c r="L315" s="272">
        <f t="shared" si="33"/>
        <v>7.5800004</v>
      </c>
      <c r="M315" s="274">
        <f t="shared" si="34"/>
        <v>16.580133369792538</v>
      </c>
    </row>
    <row r="316" spans="2:13" ht="12.75">
      <c r="B316" s="271">
        <v>9.912</v>
      </c>
      <c r="C316" s="272">
        <v>1.916868</v>
      </c>
      <c r="D316" s="272">
        <v>1.916868</v>
      </c>
      <c r="E316" s="273">
        <f t="shared" si="28"/>
        <v>15.872764237892495</v>
      </c>
      <c r="F316" s="273">
        <f t="shared" si="29"/>
        <v>-0.7236267204460056</v>
      </c>
      <c r="G316" s="333">
        <f>'ERR &amp; Sensitivity Analysis'!$D$13</f>
        <v>84</v>
      </c>
      <c r="H316" s="332">
        <f>'ERR &amp; Sensitivity Analysis'!$D$14</f>
        <v>0.1</v>
      </c>
      <c r="I316" s="273">
        <f t="shared" si="30"/>
        <v>18.008795616</v>
      </c>
      <c r="J316" s="272">
        <f t="shared" si="31"/>
        <v>68.74758531889121</v>
      </c>
      <c r="K316" s="272">
        <f t="shared" si="32"/>
        <v>30.393676311819114</v>
      </c>
      <c r="L316" s="272">
        <f t="shared" si="33"/>
        <v>18.008795616</v>
      </c>
      <c r="M316" s="274">
        <f t="shared" si="34"/>
        <v>20.345113391072097</v>
      </c>
    </row>
    <row r="317" spans="2:13" ht="12.75">
      <c r="B317" s="271">
        <v>9.912</v>
      </c>
      <c r="C317" s="272">
        <v>1.916868</v>
      </c>
      <c r="D317" s="272">
        <v>1.916868</v>
      </c>
      <c r="E317" s="273">
        <f t="shared" si="28"/>
        <v>15.872764237892495</v>
      </c>
      <c r="F317" s="273">
        <f t="shared" si="29"/>
        <v>-0.7236267204460056</v>
      </c>
      <c r="G317" s="333">
        <f>'ERR &amp; Sensitivity Analysis'!$D$13</f>
        <v>84</v>
      </c>
      <c r="H317" s="332">
        <f>'ERR &amp; Sensitivity Analysis'!$D$14</f>
        <v>0.1</v>
      </c>
      <c r="I317" s="273">
        <f t="shared" si="30"/>
        <v>18.008795616</v>
      </c>
      <c r="J317" s="272">
        <f t="shared" si="31"/>
        <v>68.74758531889121</v>
      </c>
      <c r="K317" s="272">
        <f t="shared" si="32"/>
        <v>30.393676311819114</v>
      </c>
      <c r="L317" s="272">
        <f t="shared" si="33"/>
        <v>18.008795616</v>
      </c>
      <c r="M317" s="274">
        <f t="shared" si="34"/>
        <v>20.345113391072097</v>
      </c>
    </row>
    <row r="318" spans="2:13" ht="12.75">
      <c r="B318" s="271">
        <v>12.768</v>
      </c>
      <c r="C318" s="272">
        <v>1.95802</v>
      </c>
      <c r="D318" s="272">
        <v>1.95802</v>
      </c>
      <c r="E318" s="273">
        <f t="shared" si="28"/>
        <v>19.540768658318626</v>
      </c>
      <c r="F318" s="273">
        <f t="shared" si="29"/>
        <v>-0.633337642876646</v>
      </c>
      <c r="G318" s="333">
        <f>'ERR &amp; Sensitivity Analysis'!$D$13</f>
        <v>84</v>
      </c>
      <c r="H318" s="332">
        <f>'ERR &amp; Sensitivity Analysis'!$D$14</f>
        <v>0.1</v>
      </c>
      <c r="I318" s="273">
        <f t="shared" si="30"/>
        <v>23.723199360000002</v>
      </c>
      <c r="J318" s="272">
        <f t="shared" si="31"/>
        <v>68.18261780712167</v>
      </c>
      <c r="K318" s="272">
        <f t="shared" si="32"/>
        <v>22.909360169672503</v>
      </c>
      <c r="L318" s="272">
        <f t="shared" si="33"/>
        <v>23.723199360000002</v>
      </c>
      <c r="M318" s="274">
        <f t="shared" si="34"/>
        <v>21.550058277449168</v>
      </c>
    </row>
    <row r="319" spans="2:13" ht="12.75">
      <c r="B319" s="271">
        <v>12.768</v>
      </c>
      <c r="C319" s="272">
        <v>1.95802</v>
      </c>
      <c r="D319" s="272">
        <v>1.95802</v>
      </c>
      <c r="E319" s="273">
        <f t="shared" si="28"/>
        <v>19.540768658318626</v>
      </c>
      <c r="F319" s="273">
        <f t="shared" si="29"/>
        <v>-0.633337642876646</v>
      </c>
      <c r="G319" s="333">
        <f>'ERR &amp; Sensitivity Analysis'!$D$13</f>
        <v>84</v>
      </c>
      <c r="H319" s="332">
        <f>'ERR &amp; Sensitivity Analysis'!$D$14</f>
        <v>0.1</v>
      </c>
      <c r="I319" s="273">
        <f t="shared" si="30"/>
        <v>23.723199360000002</v>
      </c>
      <c r="J319" s="272">
        <f t="shared" si="31"/>
        <v>68.18261780712167</v>
      </c>
      <c r="K319" s="272">
        <f t="shared" si="32"/>
        <v>22.909360169672503</v>
      </c>
      <c r="L319" s="272">
        <f t="shared" si="33"/>
        <v>23.723199360000002</v>
      </c>
      <c r="M319" s="274">
        <f t="shared" si="34"/>
        <v>21.550058277449168</v>
      </c>
    </row>
    <row r="320" spans="2:13" ht="12.75">
      <c r="B320" s="271">
        <v>6.384</v>
      </c>
      <c r="C320" s="272">
        <v>1.973684</v>
      </c>
      <c r="D320" s="272">
        <v>1.973684</v>
      </c>
      <c r="E320" s="273">
        <f t="shared" si="28"/>
        <v>11.487563155063393</v>
      </c>
      <c r="F320" s="273">
        <f t="shared" si="29"/>
        <v>-0.8640513740446333</v>
      </c>
      <c r="G320" s="333">
        <f>'ERR &amp; Sensitivity Analysis'!$D$13</f>
        <v>84</v>
      </c>
      <c r="H320" s="332">
        <f>'ERR &amp; Sensitivity Analysis'!$D$14</f>
        <v>0.1</v>
      </c>
      <c r="I320" s="273">
        <f t="shared" si="30"/>
        <v>11.961598656</v>
      </c>
      <c r="J320" s="272">
        <f t="shared" si="31"/>
        <v>92.68205961961472</v>
      </c>
      <c r="K320" s="272">
        <f t="shared" si="32"/>
        <v>61.78804633713477</v>
      </c>
      <c r="L320" s="272">
        <f t="shared" si="33"/>
        <v>11.961598656</v>
      </c>
      <c r="M320" s="274">
        <f t="shared" si="34"/>
        <v>18.932414626479947</v>
      </c>
    </row>
    <row r="321" spans="2:13" ht="12.75">
      <c r="B321" s="271">
        <v>5.04</v>
      </c>
      <c r="C321" s="272">
        <v>1.984127</v>
      </c>
      <c r="D321" s="272">
        <v>1.984127</v>
      </c>
      <c r="E321" s="273">
        <f t="shared" si="28"/>
        <v>9.608046498054723</v>
      </c>
      <c r="F321" s="273">
        <f t="shared" si="29"/>
        <v>-0.9416441898977022</v>
      </c>
      <c r="G321" s="333">
        <f>'ERR &amp; Sensitivity Analysis'!$D$13</f>
        <v>84</v>
      </c>
      <c r="H321" s="332">
        <f>'ERR &amp; Sensitivity Analysis'!$D$14</f>
        <v>0.1</v>
      </c>
      <c r="I321" s="273">
        <f t="shared" si="30"/>
        <v>9.49600008</v>
      </c>
      <c r="J321" s="272">
        <f t="shared" si="31"/>
        <v>171.36254406322152</v>
      </c>
      <c r="K321" s="272">
        <f t="shared" si="32"/>
        <v>143.94453586154978</v>
      </c>
      <c r="L321" s="272">
        <f t="shared" si="33"/>
        <v>9.49600008</v>
      </c>
      <c r="M321" s="274">
        <f t="shared" si="34"/>
        <v>17.922008121671738</v>
      </c>
    </row>
    <row r="322" spans="2:13" ht="12.75">
      <c r="B322" s="271">
        <v>10.08</v>
      </c>
      <c r="C322" s="272">
        <v>1.984127</v>
      </c>
      <c r="D322" s="272">
        <v>1.984127</v>
      </c>
      <c r="E322" s="273">
        <f t="shared" si="28"/>
        <v>16.391940882901206</v>
      </c>
      <c r="F322" s="273">
        <f t="shared" si="29"/>
        <v>-0.709648906937416</v>
      </c>
      <c r="G322" s="333">
        <f>'ERR &amp; Sensitivity Analysis'!$D$13</f>
        <v>84</v>
      </c>
      <c r="H322" s="332">
        <f>'ERR &amp; Sensitivity Analysis'!$D$14</f>
        <v>0.1</v>
      </c>
      <c r="I322" s="273">
        <f t="shared" si="30"/>
        <v>18.99200016</v>
      </c>
      <c r="J322" s="272">
        <f t="shared" si="31"/>
        <v>68.8821245652727</v>
      </c>
      <c r="K322" s="272">
        <f t="shared" si="32"/>
        <v>28.93049208597059</v>
      </c>
      <c r="L322" s="272">
        <f t="shared" si="33"/>
        <v>18.99200016</v>
      </c>
      <c r="M322" s="274">
        <f t="shared" si="34"/>
        <v>20.959632319302113</v>
      </c>
    </row>
    <row r="323" spans="2:13" ht="12.75">
      <c r="B323" s="271">
        <v>2.24</v>
      </c>
      <c r="C323" s="272">
        <v>2.035714</v>
      </c>
      <c r="D323" s="272">
        <v>2.035714</v>
      </c>
      <c r="E323" s="273">
        <f t="shared" si="28"/>
        <v>5.2668450674161535</v>
      </c>
      <c r="F323" s="273">
        <f t="shared" si="29"/>
        <v>-1.2027287429760718</v>
      </c>
      <c r="G323" s="333">
        <f>'ERR &amp; Sensitivity Analysis'!$D$13</f>
        <v>84</v>
      </c>
      <c r="H323" s="332">
        <f>'ERR &amp; Sensitivity Analysis'!$D$14</f>
        <v>0.1</v>
      </c>
      <c r="I323" s="273">
        <f t="shared" si="30"/>
        <v>4.335999360000001</v>
      </c>
      <c r="J323" s="272">
        <f t="shared" si="31"/>
        <v>-22.49310725780123</v>
      </c>
      <c r="K323" s="272">
        <f t="shared" si="32"/>
        <v>-41.43467707976399</v>
      </c>
      <c r="L323" s="272">
        <f t="shared" si="33"/>
        <v>4.335999360000001</v>
      </c>
      <c r="M323" s="274">
        <f t="shared" si="34"/>
        <v>14.605570461962762</v>
      </c>
    </row>
    <row r="324" spans="2:13" ht="12.75">
      <c r="B324" s="271">
        <v>9.688</v>
      </c>
      <c r="C324" s="272">
        <v>2.06441</v>
      </c>
      <c r="D324" s="272">
        <v>2.06441</v>
      </c>
      <c r="E324" s="273">
        <f t="shared" si="28"/>
        <v>16.248985723665953</v>
      </c>
      <c r="F324" s="273">
        <f t="shared" si="29"/>
        <v>-0.713453028953927</v>
      </c>
      <c r="G324" s="333">
        <f>'ERR &amp; Sensitivity Analysis'!$D$13</f>
        <v>84</v>
      </c>
      <c r="H324" s="332">
        <f>'ERR &amp; Sensitivity Analysis'!$D$14</f>
        <v>0.1</v>
      </c>
      <c r="I324" s="273">
        <f t="shared" si="30"/>
        <v>19.031204080000002</v>
      </c>
      <c r="J324" s="272">
        <f t="shared" si="31"/>
        <v>69.79659916483384</v>
      </c>
      <c r="K324" s="272">
        <f t="shared" si="32"/>
        <v>29.31456566905882</v>
      </c>
      <c r="L324" s="272">
        <f t="shared" si="33"/>
        <v>19.031204080000002</v>
      </c>
      <c r="M324" s="274">
        <f t="shared" si="34"/>
        <v>21.45082941577501</v>
      </c>
    </row>
    <row r="325" spans="2:13" ht="12.75">
      <c r="B325" s="271">
        <v>3.36</v>
      </c>
      <c r="C325" s="272">
        <v>2.083333</v>
      </c>
      <c r="D325" s="272">
        <v>2.083333</v>
      </c>
      <c r="E325" s="273">
        <f t="shared" si="28"/>
        <v>7.315381473996796</v>
      </c>
      <c r="F325" s="273">
        <f t="shared" si="29"/>
        <v>-1.0600423079269925</v>
      </c>
      <c r="G325" s="333">
        <f>'ERR &amp; Sensitivity Analysis'!$D$13</f>
        <v>84</v>
      </c>
      <c r="H325" s="332">
        <f>'ERR &amp; Sensitivity Analysis'!$D$14</f>
        <v>0.1</v>
      </c>
      <c r="I325" s="273">
        <f t="shared" si="30"/>
        <v>6.663998879999999</v>
      </c>
      <c r="J325" s="272">
        <f t="shared" si="31"/>
        <v>-116.58444056666737</v>
      </c>
      <c r="K325" s="272">
        <f t="shared" si="32"/>
        <v>-139.90135106421695</v>
      </c>
      <c r="L325" s="272">
        <f t="shared" si="33"/>
        <v>6.663998879999999</v>
      </c>
      <c r="M325" s="274">
        <f t="shared" si="34"/>
        <v>16.652911617549584</v>
      </c>
    </row>
    <row r="326" spans="2:13" ht="12.75">
      <c r="B326" s="271">
        <v>10.08</v>
      </c>
      <c r="C326" s="272">
        <v>2.098214</v>
      </c>
      <c r="D326" s="272">
        <v>2.098214</v>
      </c>
      <c r="E326" s="273">
        <f t="shared" si="28"/>
        <v>16.891395076007132</v>
      </c>
      <c r="F326" s="273">
        <f t="shared" si="29"/>
        <v>-0.6966137662249638</v>
      </c>
      <c r="G326" s="333">
        <f>'ERR &amp; Sensitivity Analysis'!$D$13</f>
        <v>84</v>
      </c>
      <c r="H326" s="332">
        <f>'ERR &amp; Sensitivity Analysis'!$D$14</f>
        <v>0.1</v>
      </c>
      <c r="I326" s="273">
        <f t="shared" si="30"/>
        <v>20.14199712</v>
      </c>
      <c r="J326" s="272">
        <f t="shared" si="31"/>
        <v>69.71310746974407</v>
      </c>
      <c r="K326" s="272">
        <f t="shared" si="32"/>
        <v>27.687479077342317</v>
      </c>
      <c r="L326" s="272">
        <f t="shared" si="33"/>
        <v>20.14199712</v>
      </c>
      <c r="M326" s="274">
        <f t="shared" si="34"/>
        <v>21.883631272401757</v>
      </c>
    </row>
    <row r="327" spans="2:13" ht="12.75">
      <c r="B327" s="271">
        <v>3.304</v>
      </c>
      <c r="C327" s="272">
        <v>2.118644</v>
      </c>
      <c r="D327" s="272">
        <v>2.118644</v>
      </c>
      <c r="E327" s="273">
        <f t="shared" si="28"/>
        <v>7.320951391593027</v>
      </c>
      <c r="F327" s="273">
        <f t="shared" si="29"/>
        <v>-1.0597117627534596</v>
      </c>
      <c r="G327" s="333">
        <f>'ERR &amp; Sensitivity Analysis'!$D$13</f>
        <v>84</v>
      </c>
      <c r="H327" s="332">
        <f>'ERR &amp; Sensitivity Analysis'!$D$14</f>
        <v>0.1</v>
      </c>
      <c r="I327" s="273">
        <f t="shared" si="30"/>
        <v>6.669599776</v>
      </c>
      <c r="J327" s="272">
        <f t="shared" si="31"/>
        <v>-117.22982965520366</v>
      </c>
      <c r="K327" s="272">
        <f t="shared" si="32"/>
        <v>-140.67580008787</v>
      </c>
      <c r="L327" s="272">
        <f t="shared" si="33"/>
        <v>6.669599776</v>
      </c>
      <c r="M327" s="274">
        <f t="shared" si="34"/>
        <v>16.77637065666633</v>
      </c>
    </row>
    <row r="328" spans="2:13" ht="12.75">
      <c r="B328" s="271">
        <v>3.192</v>
      </c>
      <c r="C328" s="272">
        <v>2.130326</v>
      </c>
      <c r="D328" s="272">
        <v>2.130326</v>
      </c>
      <c r="E328" s="273">
        <f t="shared" si="28"/>
        <v>7.16470513540311</v>
      </c>
      <c r="F328" s="273">
        <f t="shared" si="29"/>
        <v>-1.0690809644202737</v>
      </c>
      <c r="G328" s="333">
        <f>'ERR &amp; Sensitivity Analysis'!$D$13</f>
        <v>84</v>
      </c>
      <c r="H328" s="332">
        <f>'ERR &amp; Sensitivity Analysis'!$D$14</f>
        <v>0.1</v>
      </c>
      <c r="I328" s="273">
        <f t="shared" si="30"/>
        <v>6.4808005920000005</v>
      </c>
      <c r="J328" s="272">
        <f t="shared" si="31"/>
        <v>-98.43522957540468</v>
      </c>
      <c r="K328" s="272">
        <f t="shared" si="32"/>
        <v>-121.59644947769131</v>
      </c>
      <c r="L328" s="272">
        <f t="shared" si="33"/>
        <v>6.4808005920000005</v>
      </c>
      <c r="M328" s="274">
        <f t="shared" si="34"/>
        <v>16.68041931028663</v>
      </c>
    </row>
    <row r="329" spans="2:13" ht="12.75">
      <c r="B329" s="271">
        <v>10.08</v>
      </c>
      <c r="C329" s="272">
        <v>2.18254</v>
      </c>
      <c r="D329" s="272">
        <v>2.18254</v>
      </c>
      <c r="E329" s="273">
        <f t="shared" si="28"/>
        <v>17.241240144465852</v>
      </c>
      <c r="F329" s="273">
        <f t="shared" si="29"/>
        <v>-0.6877107850994183</v>
      </c>
      <c r="G329" s="333">
        <f>'ERR &amp; Sensitivity Analysis'!$D$13</f>
        <v>84</v>
      </c>
      <c r="H329" s="332">
        <f>'ERR &amp; Sensitivity Analysis'!$D$14</f>
        <v>0.1</v>
      </c>
      <c r="I329" s="273">
        <f t="shared" si="30"/>
        <v>20.9920032</v>
      </c>
      <c r="J329" s="272">
        <f t="shared" si="31"/>
        <v>70.44752796539507</v>
      </c>
      <c r="K329" s="272">
        <f t="shared" si="32"/>
        <v>26.898143128875482</v>
      </c>
      <c r="L329" s="272">
        <f t="shared" si="33"/>
        <v>20.9920032</v>
      </c>
      <c r="M329" s="274">
        <f t="shared" si="34"/>
        <v>22.557381636519587</v>
      </c>
    </row>
    <row r="330" spans="2:13" ht="12.75">
      <c r="B330" s="271">
        <v>3.192</v>
      </c>
      <c r="C330" s="272">
        <v>2.192982</v>
      </c>
      <c r="D330" s="272">
        <v>2.192982</v>
      </c>
      <c r="E330" s="273">
        <f t="shared" si="28"/>
        <v>7.332200715943929</v>
      </c>
      <c r="F330" s="273">
        <f t="shared" si="29"/>
        <v>-1.059044940978229</v>
      </c>
      <c r="G330" s="333">
        <f>'ERR &amp; Sensitivity Analysis'!$D$13</f>
        <v>84</v>
      </c>
      <c r="H330" s="332">
        <f>'ERR &amp; Sensitivity Analysis'!$D$14</f>
        <v>0.1</v>
      </c>
      <c r="I330" s="273">
        <f t="shared" si="30"/>
        <v>6.680798544000001</v>
      </c>
      <c r="J330" s="272">
        <f t="shared" si="31"/>
        <v>-118.5537393725406</v>
      </c>
      <c r="K330" s="272">
        <f t="shared" si="32"/>
        <v>-142.26451683806823</v>
      </c>
      <c r="L330" s="272">
        <f t="shared" si="33"/>
        <v>6.680798544000001</v>
      </c>
      <c r="M330" s="274">
        <f t="shared" si="34"/>
        <v>17.029978921527626</v>
      </c>
    </row>
    <row r="331" spans="2:13" ht="12.75">
      <c r="B331" s="271">
        <v>6.384</v>
      </c>
      <c r="C331" s="272">
        <v>2.192982</v>
      </c>
      <c r="D331" s="272">
        <v>2.192982</v>
      </c>
      <c r="E331" s="273">
        <f t="shared" si="28"/>
        <v>12.294481049727477</v>
      </c>
      <c r="F331" s="273">
        <f t="shared" si="29"/>
        <v>-0.8345690841783829</v>
      </c>
      <c r="G331" s="333">
        <f>'ERR &amp; Sensitivity Analysis'!$D$13</f>
        <v>84</v>
      </c>
      <c r="H331" s="332">
        <f>'ERR &amp; Sensitivity Analysis'!$D$14</f>
        <v>0.1</v>
      </c>
      <c r="I331" s="273">
        <f t="shared" si="30"/>
        <v>13.361597088000002</v>
      </c>
      <c r="J331" s="272">
        <f t="shared" si="31"/>
        <v>84.6274532089038</v>
      </c>
      <c r="K331" s="272">
        <f t="shared" si="32"/>
        <v>50.77648248685065</v>
      </c>
      <c r="L331" s="272">
        <f t="shared" si="33"/>
        <v>13.361597088000002</v>
      </c>
      <c r="M331" s="274">
        <f t="shared" si="34"/>
        <v>20.489373634053152</v>
      </c>
    </row>
    <row r="332" spans="2:13" ht="12.75">
      <c r="B332" s="271">
        <v>10.08</v>
      </c>
      <c r="C332" s="272">
        <v>2.207341</v>
      </c>
      <c r="D332" s="272">
        <v>2.207341</v>
      </c>
      <c r="E332" s="273">
        <f t="shared" si="28"/>
        <v>17.34122276965083</v>
      </c>
      <c r="F332" s="273">
        <f t="shared" si="29"/>
        <v>-0.6851995687354703</v>
      </c>
      <c r="G332" s="333">
        <f>'ERR &amp; Sensitivity Analysis'!$D$13</f>
        <v>84</v>
      </c>
      <c r="H332" s="332">
        <f>'ERR &amp; Sensitivity Analysis'!$D$14</f>
        <v>0.1</v>
      </c>
      <c r="I332" s="273">
        <f t="shared" si="30"/>
        <v>21.24199728</v>
      </c>
      <c r="J332" s="272">
        <f t="shared" si="31"/>
        <v>70.67969122730686</v>
      </c>
      <c r="K332" s="272">
        <f t="shared" si="32"/>
        <v>26.683572084885107</v>
      </c>
      <c r="L332" s="272">
        <f t="shared" si="33"/>
        <v>21.24199728</v>
      </c>
      <c r="M332" s="274">
        <f t="shared" si="34"/>
        <v>22.754121862421755</v>
      </c>
    </row>
    <row r="333" spans="2:13" ht="12.75">
      <c r="B333" s="271">
        <v>2.24</v>
      </c>
      <c r="C333" s="272">
        <v>2.232143</v>
      </c>
      <c r="D333" s="272">
        <v>2.232143</v>
      </c>
      <c r="E333" s="273">
        <f t="shared" si="28"/>
        <v>5.717753122952797</v>
      </c>
      <c r="F333" s="273">
        <f t="shared" si="29"/>
        <v>-1.1670538862910402</v>
      </c>
      <c r="G333" s="333">
        <f>'ERR &amp; Sensitivity Analysis'!$D$13</f>
        <v>84</v>
      </c>
      <c r="H333" s="332">
        <f>'ERR &amp; Sensitivity Analysis'!$D$14</f>
        <v>0.1</v>
      </c>
      <c r="I333" s="273">
        <f t="shared" si="30"/>
        <v>4.7760003200000005</v>
      </c>
      <c r="J333" s="272">
        <f t="shared" si="31"/>
        <v>-29.93046394197039</v>
      </c>
      <c r="K333" s="272">
        <f t="shared" si="32"/>
        <v>-50.28317620438699</v>
      </c>
      <c r="L333" s="272">
        <f t="shared" si="33"/>
        <v>4.7760003200000005</v>
      </c>
      <c r="M333" s="274">
        <f t="shared" si="34"/>
        <v>15.576711942416598</v>
      </c>
    </row>
    <row r="334" spans="2:13" ht="12.75">
      <c r="B334" s="271">
        <v>2.24</v>
      </c>
      <c r="C334" s="272">
        <v>2.232143</v>
      </c>
      <c r="D334" s="272">
        <v>2.232143</v>
      </c>
      <c r="E334" s="273">
        <f t="shared" si="28"/>
        <v>5.717753122952797</v>
      </c>
      <c r="F334" s="273">
        <f t="shared" si="29"/>
        <v>-1.1670538862910402</v>
      </c>
      <c r="G334" s="333">
        <f>'ERR &amp; Sensitivity Analysis'!$D$13</f>
        <v>84</v>
      </c>
      <c r="H334" s="332">
        <f>'ERR &amp; Sensitivity Analysis'!$D$14</f>
        <v>0.1</v>
      </c>
      <c r="I334" s="273">
        <f t="shared" si="30"/>
        <v>4.7760003200000005</v>
      </c>
      <c r="J334" s="272">
        <f t="shared" si="31"/>
        <v>-29.93046394197039</v>
      </c>
      <c r="K334" s="272">
        <f t="shared" si="32"/>
        <v>-50.28317620438699</v>
      </c>
      <c r="L334" s="272">
        <f t="shared" si="33"/>
        <v>4.7760003200000005</v>
      </c>
      <c r="M334" s="274">
        <f t="shared" si="34"/>
        <v>15.576711942416598</v>
      </c>
    </row>
    <row r="335" spans="2:13" ht="12.75">
      <c r="B335" s="271">
        <v>4.48</v>
      </c>
      <c r="C335" s="272">
        <v>2.232143</v>
      </c>
      <c r="D335" s="272">
        <v>2.232143</v>
      </c>
      <c r="E335" s="273">
        <f t="shared" si="28"/>
        <v>9.55920713158448</v>
      </c>
      <c r="F335" s="273">
        <f t="shared" si="29"/>
        <v>-0.9438574139382454</v>
      </c>
      <c r="G335" s="333">
        <f>'ERR &amp; Sensitivity Analysis'!$D$13</f>
        <v>84</v>
      </c>
      <c r="H335" s="332">
        <f>'ERR &amp; Sensitivity Analysis'!$D$14</f>
        <v>0.1</v>
      </c>
      <c r="I335" s="273">
        <f t="shared" si="30"/>
        <v>9.552000640000001</v>
      </c>
      <c r="J335" s="272">
        <f t="shared" si="31"/>
        <v>178.117919773065</v>
      </c>
      <c r="K335" s="272">
        <f t="shared" si="32"/>
        <v>149.61904303375584</v>
      </c>
      <c r="L335" s="272">
        <f t="shared" si="33"/>
        <v>9.552000640000001</v>
      </c>
      <c r="M335" s="274">
        <f t="shared" si="34"/>
        <v>18.946876099309165</v>
      </c>
    </row>
    <row r="336" spans="2:13" ht="12.75">
      <c r="B336" s="271">
        <v>2.24</v>
      </c>
      <c r="C336" s="272">
        <v>2.258929</v>
      </c>
      <c r="D336" s="272">
        <v>2.258929</v>
      </c>
      <c r="E336" s="273">
        <f t="shared" si="28"/>
        <v>5.776848921196837</v>
      </c>
      <c r="F336" s="273">
        <f t="shared" si="29"/>
        <v>-1.1625882762404804</v>
      </c>
      <c r="G336" s="333">
        <f>'ERR &amp; Sensitivity Analysis'!$D$13</f>
        <v>84</v>
      </c>
      <c r="H336" s="332">
        <f>'ERR &amp; Sensitivity Analysis'!$D$14</f>
        <v>0.1</v>
      </c>
      <c r="I336" s="273">
        <f t="shared" si="30"/>
        <v>4.836000960000001</v>
      </c>
      <c r="J336" s="272">
        <f t="shared" si="31"/>
        <v>-31.121561019048347</v>
      </c>
      <c r="K336" s="272">
        <f t="shared" si="32"/>
        <v>-51.66424169216091</v>
      </c>
      <c r="L336" s="272">
        <f t="shared" si="33"/>
        <v>4.836000960000001</v>
      </c>
      <c r="M336" s="274">
        <f t="shared" si="34"/>
        <v>15.70667971311256</v>
      </c>
    </row>
    <row r="337" spans="2:13" ht="12.75">
      <c r="B337" s="271">
        <v>3.304</v>
      </c>
      <c r="C337" s="272">
        <v>2.269976</v>
      </c>
      <c r="D337" s="272">
        <v>2.269976</v>
      </c>
      <c r="E337" s="273">
        <f t="shared" si="28"/>
        <v>7.726510665748153</v>
      </c>
      <c r="F337" s="273">
        <f t="shared" si="29"/>
        <v>-1.0362958776210114</v>
      </c>
      <c r="G337" s="333">
        <f>'ERR &amp; Sensitivity Analysis'!$D$13</f>
        <v>84</v>
      </c>
      <c r="H337" s="332">
        <f>'ERR &amp; Sensitivity Analysis'!$D$14</f>
        <v>0.1</v>
      </c>
      <c r="I337" s="273">
        <f t="shared" si="30"/>
        <v>7.169600704</v>
      </c>
      <c r="J337" s="272">
        <f t="shared" si="31"/>
        <v>-206.63505597832162</v>
      </c>
      <c r="K337" s="272">
        <f t="shared" si="32"/>
        <v>-231.43124097204122</v>
      </c>
      <c r="L337" s="272">
        <f t="shared" si="33"/>
        <v>7.169600704</v>
      </c>
      <c r="M337" s="274">
        <f t="shared" si="34"/>
        <v>17.626584289719606</v>
      </c>
    </row>
    <row r="338" spans="2:13" ht="12.75">
      <c r="B338" s="271">
        <v>3.304</v>
      </c>
      <c r="C338" s="272">
        <v>2.269976</v>
      </c>
      <c r="D338" s="272">
        <v>2.269976</v>
      </c>
      <c r="E338" s="273">
        <f t="shared" si="28"/>
        <v>7.726510665748153</v>
      </c>
      <c r="F338" s="273">
        <f t="shared" si="29"/>
        <v>-1.0362958776210114</v>
      </c>
      <c r="G338" s="333">
        <f>'ERR &amp; Sensitivity Analysis'!$D$13</f>
        <v>84</v>
      </c>
      <c r="H338" s="332">
        <f>'ERR &amp; Sensitivity Analysis'!$D$14</f>
        <v>0.1</v>
      </c>
      <c r="I338" s="273">
        <f t="shared" si="30"/>
        <v>7.169600704</v>
      </c>
      <c r="J338" s="272">
        <f t="shared" si="31"/>
        <v>-206.63505597832162</v>
      </c>
      <c r="K338" s="272">
        <f t="shared" si="32"/>
        <v>-231.43124097204122</v>
      </c>
      <c r="L338" s="272">
        <f t="shared" si="33"/>
        <v>7.169600704</v>
      </c>
      <c r="M338" s="274">
        <f t="shared" si="34"/>
        <v>17.626584289719606</v>
      </c>
    </row>
    <row r="339" spans="2:13" ht="12.75">
      <c r="B339" s="271">
        <v>6.608</v>
      </c>
      <c r="C339" s="272">
        <v>2.269976</v>
      </c>
      <c r="D339" s="272">
        <v>2.269976</v>
      </c>
      <c r="E339" s="273">
        <f t="shared" si="28"/>
        <v>12.881856260814097</v>
      </c>
      <c r="F339" s="273">
        <f t="shared" si="29"/>
        <v>-0.8143008371885465</v>
      </c>
      <c r="G339" s="333">
        <f>'ERR &amp; Sensitivity Analysis'!$D$13</f>
        <v>84</v>
      </c>
      <c r="H339" s="332">
        <f>'ERR &amp; Sensitivity Analysis'!$D$14</f>
        <v>0.1</v>
      </c>
      <c r="I339" s="273">
        <f t="shared" si="30"/>
        <v>14.339201408</v>
      </c>
      <c r="J339" s="272">
        <f t="shared" si="31"/>
        <v>80.7758160074744</v>
      </c>
      <c r="K339" s="272">
        <f t="shared" si="32"/>
        <v>45.23445271817839</v>
      </c>
      <c r="L339" s="272">
        <f t="shared" si="33"/>
        <v>14.339201408</v>
      </c>
      <c r="M339" s="274">
        <f t="shared" si="34"/>
        <v>21.202161881296014</v>
      </c>
    </row>
    <row r="340" spans="2:13" ht="12.75">
      <c r="B340" s="271">
        <v>5.152</v>
      </c>
      <c r="C340" s="272">
        <v>2.274845</v>
      </c>
      <c r="D340" s="272">
        <v>2.274845</v>
      </c>
      <c r="E340" s="273">
        <f aca="true" t="shared" si="35" ref="E340:E403">B340/(D340^F340)</f>
        <v>10.736860439414981</v>
      </c>
      <c r="F340" s="273">
        <f aca="true" t="shared" si="36" ref="F340:F403">LN(B340/G340)/LN(D340/H340)</f>
        <v>-0.8934019779914137</v>
      </c>
      <c r="G340" s="333">
        <f>'ERR &amp; Sensitivity Analysis'!$D$13</f>
        <v>84</v>
      </c>
      <c r="H340" s="332">
        <f>'ERR &amp; Sensitivity Analysis'!$D$14</f>
        <v>0.1</v>
      </c>
      <c r="I340" s="273">
        <f aca="true" t="shared" si="37" ref="I340:I403">IF((D340-H340)*B340&gt;0,(D340-H340)*B340,0)</f>
        <v>11.20480144</v>
      </c>
      <c r="J340" s="272">
        <f aca="true" t="shared" si="38" ref="J340:J403">(E340*(D340^(F340+1)))/(F340+1)</f>
        <v>109.94576840324466</v>
      </c>
      <c r="K340" s="272">
        <f aca="true" t="shared" si="39" ref="K340:K403">(E340*(H340^(F340+1)))/(F340+1)</f>
        <v>78.8007116991664</v>
      </c>
      <c r="L340" s="272">
        <f aca="true" t="shared" si="40" ref="L340:L403">(D340-H340)*B340</f>
        <v>11.20480144</v>
      </c>
      <c r="M340" s="274">
        <f aca="true" t="shared" si="41" ref="M340:M403">J340-K340-L340</f>
        <v>19.940255264078257</v>
      </c>
    </row>
    <row r="341" spans="2:13" ht="12.75">
      <c r="B341" s="271">
        <v>10.08</v>
      </c>
      <c r="C341" s="272">
        <v>2.281746</v>
      </c>
      <c r="D341" s="272">
        <v>2.281746</v>
      </c>
      <c r="E341" s="273">
        <f t="shared" si="35"/>
        <v>17.63367982344605</v>
      </c>
      <c r="F341" s="273">
        <f t="shared" si="36"/>
        <v>-0.6779363350640006</v>
      </c>
      <c r="G341" s="333">
        <f>'ERR &amp; Sensitivity Analysis'!$D$13</f>
        <v>84</v>
      </c>
      <c r="H341" s="332">
        <f>'ERR &amp; Sensitivity Analysis'!$D$14</f>
        <v>0.1</v>
      </c>
      <c r="I341" s="273">
        <f t="shared" si="37"/>
        <v>21.99199968</v>
      </c>
      <c r="J341" s="272">
        <f t="shared" si="38"/>
        <v>71.41445057010877</v>
      </c>
      <c r="K341" s="272">
        <f t="shared" si="39"/>
        <v>26.081799701525636</v>
      </c>
      <c r="L341" s="272">
        <f t="shared" si="40"/>
        <v>21.99199968</v>
      </c>
      <c r="M341" s="274">
        <f t="shared" si="41"/>
        <v>23.34065118858313</v>
      </c>
    </row>
    <row r="342" spans="2:13" ht="12.75">
      <c r="B342" s="271">
        <v>9.576</v>
      </c>
      <c r="C342" s="272">
        <v>2.29741</v>
      </c>
      <c r="D342" s="272">
        <v>2.29741</v>
      </c>
      <c r="E342" s="273">
        <f t="shared" si="35"/>
        <v>17.03954133677062</v>
      </c>
      <c r="F342" s="273">
        <f t="shared" si="36"/>
        <v>-0.6928213856306411</v>
      </c>
      <c r="G342" s="333">
        <f>'ERR &amp; Sensitivity Analysis'!$D$13</f>
        <v>84</v>
      </c>
      <c r="H342" s="332">
        <f>'ERR &amp; Sensitivity Analysis'!$D$14</f>
        <v>0.1</v>
      </c>
      <c r="I342" s="273">
        <f t="shared" si="37"/>
        <v>21.04239816</v>
      </c>
      <c r="J342" s="272">
        <f t="shared" si="38"/>
        <v>71.61956311693848</v>
      </c>
      <c r="K342" s="272">
        <f t="shared" si="39"/>
        <v>27.345653659012992</v>
      </c>
      <c r="L342" s="272">
        <f t="shared" si="40"/>
        <v>21.04239816</v>
      </c>
      <c r="M342" s="274">
        <f t="shared" si="41"/>
        <v>23.231511297925483</v>
      </c>
    </row>
    <row r="343" spans="2:13" ht="12.75">
      <c r="B343" s="271">
        <v>12.768</v>
      </c>
      <c r="C343" s="272">
        <v>2.310464</v>
      </c>
      <c r="D343" s="272">
        <v>2.310464</v>
      </c>
      <c r="E343" s="273">
        <f t="shared" si="35"/>
        <v>21.10209460552609</v>
      </c>
      <c r="F343" s="273">
        <f t="shared" si="36"/>
        <v>-0.5999537203152412</v>
      </c>
      <c r="G343" s="333">
        <f>'ERR &amp; Sensitivity Analysis'!$D$13</f>
        <v>84</v>
      </c>
      <c r="H343" s="332">
        <f>'ERR &amp; Sensitivity Analysis'!$D$14</f>
        <v>0.1</v>
      </c>
      <c r="I343" s="273">
        <f t="shared" si="37"/>
        <v>28.223204352</v>
      </c>
      <c r="J343" s="272">
        <f t="shared" si="38"/>
        <v>73.74147904898992</v>
      </c>
      <c r="K343" s="272">
        <f t="shared" si="39"/>
        <v>20.99757059763011</v>
      </c>
      <c r="L343" s="272">
        <f t="shared" si="40"/>
        <v>28.223204352</v>
      </c>
      <c r="M343" s="274">
        <f t="shared" si="41"/>
        <v>24.520704099359808</v>
      </c>
    </row>
    <row r="344" spans="2:13" ht="12.75">
      <c r="B344" s="271">
        <v>4.13</v>
      </c>
      <c r="C344" s="272">
        <v>2.421307</v>
      </c>
      <c r="D344" s="272">
        <v>2.421307</v>
      </c>
      <c r="E344" s="273">
        <f t="shared" si="35"/>
        <v>9.527714789101879</v>
      </c>
      <c r="F344" s="273">
        <f t="shared" si="36"/>
        <v>-0.945290537941187</v>
      </c>
      <c r="G344" s="333">
        <f>'ERR &amp; Sensitivity Analysis'!$D$13</f>
        <v>84</v>
      </c>
      <c r="H344" s="332">
        <f>'ERR &amp; Sensitivity Analysis'!$D$14</f>
        <v>0.1</v>
      </c>
      <c r="I344" s="273">
        <f t="shared" si="37"/>
        <v>9.58699791</v>
      </c>
      <c r="J344" s="272">
        <f t="shared" si="38"/>
        <v>182.78370018060025</v>
      </c>
      <c r="K344" s="272">
        <f t="shared" si="39"/>
        <v>153.53834024121733</v>
      </c>
      <c r="L344" s="272">
        <f t="shared" si="40"/>
        <v>9.58699791</v>
      </c>
      <c r="M344" s="274">
        <f t="shared" si="41"/>
        <v>19.65836202938292</v>
      </c>
    </row>
    <row r="345" spans="2:13" ht="12.75">
      <c r="B345" s="271">
        <v>0.826</v>
      </c>
      <c r="C345" s="272">
        <v>2.421308</v>
      </c>
      <c r="D345" s="272">
        <v>2.421308</v>
      </c>
      <c r="E345" s="273">
        <f t="shared" si="35"/>
        <v>2.978317536596023</v>
      </c>
      <c r="F345" s="273">
        <f t="shared" si="36"/>
        <v>-1.4503082873939512</v>
      </c>
      <c r="G345" s="333">
        <f>'ERR &amp; Sensitivity Analysis'!$D$13</f>
        <v>84</v>
      </c>
      <c r="H345" s="332">
        <f>'ERR &amp; Sensitivity Analysis'!$D$14</f>
        <v>0.1</v>
      </c>
      <c r="I345" s="273">
        <f t="shared" si="37"/>
        <v>1.9174004079999996</v>
      </c>
      <c r="J345" s="272">
        <f t="shared" si="38"/>
        <v>-4.4414026212453495</v>
      </c>
      <c r="K345" s="272">
        <f t="shared" si="39"/>
        <v>-18.653887203837474</v>
      </c>
      <c r="L345" s="272">
        <f t="shared" si="40"/>
        <v>1.9174004079999996</v>
      </c>
      <c r="M345" s="274">
        <f t="shared" si="41"/>
        <v>12.295084174592127</v>
      </c>
    </row>
    <row r="346" spans="2:13" ht="12.75">
      <c r="B346" s="271">
        <v>3.304</v>
      </c>
      <c r="C346" s="272">
        <v>2.421308</v>
      </c>
      <c r="D346" s="272">
        <v>2.421308</v>
      </c>
      <c r="E346" s="273">
        <f t="shared" si="35"/>
        <v>8.10904511027845</v>
      </c>
      <c r="F346" s="273">
        <f t="shared" si="36"/>
        <v>-1.0153095696747534</v>
      </c>
      <c r="G346" s="333">
        <f>'ERR &amp; Sensitivity Analysis'!$D$13</f>
        <v>84</v>
      </c>
      <c r="H346" s="332">
        <f>'ERR &amp; Sensitivity Analysis'!$D$14</f>
        <v>0.1</v>
      </c>
      <c r="I346" s="273">
        <f t="shared" si="37"/>
        <v>7.669601631999998</v>
      </c>
      <c r="J346" s="272">
        <f t="shared" si="38"/>
        <v>-522.5490854385406</v>
      </c>
      <c r="K346" s="272">
        <f t="shared" si="39"/>
        <v>-548.6764277804763</v>
      </c>
      <c r="L346" s="272">
        <f t="shared" si="40"/>
        <v>7.669601631999998</v>
      </c>
      <c r="M346" s="274">
        <f t="shared" si="41"/>
        <v>18.457740709935674</v>
      </c>
    </row>
    <row r="347" spans="2:13" ht="12.75">
      <c r="B347" s="271">
        <v>6.608</v>
      </c>
      <c r="C347" s="272">
        <v>2.421308</v>
      </c>
      <c r="D347" s="272">
        <v>2.421308</v>
      </c>
      <c r="E347" s="273">
        <f t="shared" si="35"/>
        <v>13.38039934118202</v>
      </c>
      <c r="F347" s="273">
        <f t="shared" si="36"/>
        <v>-0.7978102108151545</v>
      </c>
      <c r="G347" s="333">
        <f>'ERR &amp; Sensitivity Analysis'!$D$13</f>
        <v>84</v>
      </c>
      <c r="H347" s="332">
        <f>'ERR &amp; Sensitivity Analysis'!$D$14</f>
        <v>0.1</v>
      </c>
      <c r="I347" s="273">
        <f t="shared" si="37"/>
        <v>15.339203263999996</v>
      </c>
      <c r="J347" s="272">
        <f t="shared" si="38"/>
        <v>79.1335869556326</v>
      </c>
      <c r="K347" s="272">
        <f t="shared" si="39"/>
        <v>41.54512467650168</v>
      </c>
      <c r="L347" s="272">
        <f t="shared" si="40"/>
        <v>15.339203263999996</v>
      </c>
      <c r="M347" s="274">
        <f t="shared" si="41"/>
        <v>22.249259015130917</v>
      </c>
    </row>
    <row r="348" spans="2:13" ht="12.75">
      <c r="B348" s="271">
        <v>12.768</v>
      </c>
      <c r="C348" s="272">
        <v>2.427945</v>
      </c>
      <c r="D348" s="272">
        <v>2.427945</v>
      </c>
      <c r="E348" s="273">
        <f t="shared" si="35"/>
        <v>21.560284560582602</v>
      </c>
      <c r="F348" s="273">
        <f t="shared" si="36"/>
        <v>-0.5906247975307037</v>
      </c>
      <c r="G348" s="333">
        <f>'ERR &amp; Sensitivity Analysis'!$D$13</f>
        <v>84</v>
      </c>
      <c r="H348" s="332">
        <f>'ERR &amp; Sensitivity Analysis'!$D$14</f>
        <v>0.1</v>
      </c>
      <c r="I348" s="273">
        <f t="shared" si="37"/>
        <v>29.72320176</v>
      </c>
      <c r="J348" s="272">
        <f t="shared" si="38"/>
        <v>75.7251576866702</v>
      </c>
      <c r="K348" s="272">
        <f t="shared" si="39"/>
        <v>20.519073821111608</v>
      </c>
      <c r="L348" s="272">
        <f t="shared" si="40"/>
        <v>29.72320176</v>
      </c>
      <c r="M348" s="274">
        <f t="shared" si="41"/>
        <v>25.4828821055586</v>
      </c>
    </row>
    <row r="349" spans="2:13" ht="12.75">
      <c r="B349" s="271">
        <v>40.32</v>
      </c>
      <c r="C349" s="272">
        <v>2.455357</v>
      </c>
      <c r="D349" s="272">
        <v>2.455357</v>
      </c>
      <c r="E349" s="273">
        <f t="shared" si="35"/>
        <v>49.54220682310667</v>
      </c>
      <c r="F349" s="273">
        <f t="shared" si="36"/>
        <v>-0.2293039380358913</v>
      </c>
      <c r="G349" s="333">
        <f>'ERR &amp; Sensitivity Analysis'!$D$13</f>
        <v>84</v>
      </c>
      <c r="H349" s="332">
        <f>'ERR &amp; Sensitivity Analysis'!$D$14</f>
        <v>0.1</v>
      </c>
      <c r="I349" s="273">
        <f t="shared" si="37"/>
        <v>94.96799423999998</v>
      </c>
      <c r="J349" s="272">
        <f t="shared" si="38"/>
        <v>128.45530050808853</v>
      </c>
      <c r="K349" s="272">
        <f t="shared" si="39"/>
        <v>10.899238253005619</v>
      </c>
      <c r="L349" s="272">
        <f t="shared" si="40"/>
        <v>94.96799423999998</v>
      </c>
      <c r="M349" s="274">
        <f t="shared" si="41"/>
        <v>22.588068015082925</v>
      </c>
    </row>
    <row r="350" spans="2:13" ht="12.75">
      <c r="B350" s="271">
        <v>5.04</v>
      </c>
      <c r="C350" s="272">
        <v>2.480159</v>
      </c>
      <c r="D350" s="272">
        <v>2.480159</v>
      </c>
      <c r="E350" s="273">
        <f t="shared" si="35"/>
        <v>11.170564829160996</v>
      </c>
      <c r="F350" s="273">
        <f t="shared" si="36"/>
        <v>-0.8762041526968548</v>
      </c>
      <c r="G350" s="333">
        <f>'ERR &amp; Sensitivity Analysis'!$D$13</f>
        <v>84</v>
      </c>
      <c r="H350" s="332">
        <f>'ERR &amp; Sensitivity Analysis'!$D$14</f>
        <v>0.1</v>
      </c>
      <c r="I350" s="273">
        <f t="shared" si="37"/>
        <v>11.99600136</v>
      </c>
      <c r="J350" s="272">
        <f t="shared" si="38"/>
        <v>100.97270330393727</v>
      </c>
      <c r="K350" s="272">
        <f t="shared" si="39"/>
        <v>67.8536492377688</v>
      </c>
      <c r="L350" s="272">
        <f t="shared" si="40"/>
        <v>11.99600136</v>
      </c>
      <c r="M350" s="274">
        <f t="shared" si="41"/>
        <v>21.12305270616846</v>
      </c>
    </row>
    <row r="351" spans="2:13" ht="12.75">
      <c r="B351" s="271">
        <v>1.596</v>
      </c>
      <c r="C351" s="272">
        <v>2.506266</v>
      </c>
      <c r="D351" s="272">
        <v>2.506266</v>
      </c>
      <c r="E351" s="273">
        <f t="shared" si="35"/>
        <v>4.942681718692273</v>
      </c>
      <c r="F351" s="273">
        <f t="shared" si="36"/>
        <v>-1.2303166408582555</v>
      </c>
      <c r="G351" s="333">
        <f>'ERR &amp; Sensitivity Analysis'!$D$13</f>
        <v>84</v>
      </c>
      <c r="H351" s="332">
        <f>'ERR &amp; Sensitivity Analysis'!$D$14</f>
        <v>0.1</v>
      </c>
      <c r="I351" s="273">
        <f t="shared" si="37"/>
        <v>3.840400536</v>
      </c>
      <c r="J351" s="272">
        <f t="shared" si="38"/>
        <v>-17.367396993523073</v>
      </c>
      <c r="K351" s="272">
        <f t="shared" si="39"/>
        <v>-36.47152879921359</v>
      </c>
      <c r="L351" s="272">
        <f t="shared" si="40"/>
        <v>3.840400536</v>
      </c>
      <c r="M351" s="274">
        <f t="shared" si="41"/>
        <v>15.263731269690513</v>
      </c>
    </row>
    <row r="352" spans="2:13" ht="12.75">
      <c r="B352" s="271">
        <v>3.192</v>
      </c>
      <c r="C352" s="272">
        <v>2.506266</v>
      </c>
      <c r="D352" s="272">
        <v>2.506266</v>
      </c>
      <c r="E352" s="273">
        <f t="shared" si="35"/>
        <v>8.112105488255029</v>
      </c>
      <c r="F352" s="273">
        <f t="shared" si="36"/>
        <v>-1.0151456965542291</v>
      </c>
      <c r="G352" s="333">
        <f>'ERR &amp; Sensitivity Analysis'!$D$13</f>
        <v>84</v>
      </c>
      <c r="H352" s="332">
        <f>'ERR &amp; Sensitivity Analysis'!$D$14</f>
        <v>0.1</v>
      </c>
      <c r="I352" s="273">
        <f t="shared" si="37"/>
        <v>7.680801072</v>
      </c>
      <c r="J352" s="272">
        <f t="shared" si="38"/>
        <v>-528.2029151552065</v>
      </c>
      <c r="K352" s="272">
        <f t="shared" si="39"/>
        <v>-554.6129865948261</v>
      </c>
      <c r="L352" s="272">
        <f t="shared" si="40"/>
        <v>7.680801072</v>
      </c>
      <c r="M352" s="274">
        <f t="shared" si="41"/>
        <v>18.729270367619627</v>
      </c>
    </row>
    <row r="353" spans="2:13" ht="12.75">
      <c r="B353" s="271">
        <v>3.192</v>
      </c>
      <c r="C353" s="272">
        <v>2.506266</v>
      </c>
      <c r="D353" s="272">
        <v>2.506266</v>
      </c>
      <c r="E353" s="273">
        <f t="shared" si="35"/>
        <v>8.112105488255029</v>
      </c>
      <c r="F353" s="273">
        <f t="shared" si="36"/>
        <v>-1.0151456965542291</v>
      </c>
      <c r="G353" s="333">
        <f>'ERR &amp; Sensitivity Analysis'!$D$13</f>
        <v>84</v>
      </c>
      <c r="H353" s="332">
        <f>'ERR &amp; Sensitivity Analysis'!$D$14</f>
        <v>0.1</v>
      </c>
      <c r="I353" s="273">
        <f t="shared" si="37"/>
        <v>7.680801072</v>
      </c>
      <c r="J353" s="272">
        <f t="shared" si="38"/>
        <v>-528.2029151552065</v>
      </c>
      <c r="K353" s="272">
        <f t="shared" si="39"/>
        <v>-554.6129865948261</v>
      </c>
      <c r="L353" s="272">
        <f t="shared" si="40"/>
        <v>7.680801072</v>
      </c>
      <c r="M353" s="274">
        <f t="shared" si="41"/>
        <v>18.729270367619627</v>
      </c>
    </row>
    <row r="354" spans="2:13" ht="12.75">
      <c r="B354" s="271">
        <v>6.608</v>
      </c>
      <c r="C354" s="272">
        <v>2.542373</v>
      </c>
      <c r="D354" s="272">
        <v>2.542373</v>
      </c>
      <c r="E354" s="273">
        <f t="shared" si="35"/>
        <v>13.756217825234193</v>
      </c>
      <c r="F354" s="273">
        <f t="shared" si="36"/>
        <v>-0.7857802419456189</v>
      </c>
      <c r="G354" s="333">
        <f>'ERR &amp; Sensitivity Analysis'!$D$13</f>
        <v>84</v>
      </c>
      <c r="H354" s="332">
        <f>'ERR &amp; Sensitivity Analysis'!$D$14</f>
        <v>0.1</v>
      </c>
      <c r="I354" s="273">
        <f t="shared" si="37"/>
        <v>16.139200784</v>
      </c>
      <c r="J354" s="272">
        <f t="shared" si="38"/>
        <v>78.42414227606031</v>
      </c>
      <c r="K354" s="272">
        <f t="shared" si="39"/>
        <v>39.21206930813359</v>
      </c>
      <c r="L354" s="272">
        <f t="shared" si="40"/>
        <v>16.139200784</v>
      </c>
      <c r="M354" s="274">
        <f t="shared" si="41"/>
        <v>23.072872183926716</v>
      </c>
    </row>
    <row r="355" spans="2:13" ht="12.75">
      <c r="B355" s="271">
        <v>9.576</v>
      </c>
      <c r="C355" s="272">
        <v>2.55848</v>
      </c>
      <c r="D355" s="272">
        <v>2.55848</v>
      </c>
      <c r="E355" s="273">
        <f t="shared" si="35"/>
        <v>17.966307983563905</v>
      </c>
      <c r="F355" s="273">
        <f t="shared" si="36"/>
        <v>-0.6698204458534636</v>
      </c>
      <c r="G355" s="333">
        <f>'ERR &amp; Sensitivity Analysis'!$D$13</f>
        <v>84</v>
      </c>
      <c r="H355" s="332">
        <f>'ERR &amp; Sensitivity Analysis'!$D$14</f>
        <v>0.1</v>
      </c>
      <c r="I355" s="273">
        <f t="shared" si="37"/>
        <v>23.54240448</v>
      </c>
      <c r="J355" s="272">
        <f t="shared" si="38"/>
        <v>74.20206421723707</v>
      </c>
      <c r="K355" s="272">
        <f t="shared" si="39"/>
        <v>25.440703079609868</v>
      </c>
      <c r="L355" s="272">
        <f t="shared" si="40"/>
        <v>23.54240448</v>
      </c>
      <c r="M355" s="274">
        <f t="shared" si="41"/>
        <v>25.2189566576272</v>
      </c>
    </row>
    <row r="356" spans="2:13" ht="12.75">
      <c r="B356" s="271">
        <v>10.08</v>
      </c>
      <c r="C356" s="272">
        <v>2.579365</v>
      </c>
      <c r="D356" s="272">
        <v>2.579365</v>
      </c>
      <c r="E356" s="273">
        <f t="shared" si="35"/>
        <v>18.703215011615473</v>
      </c>
      <c r="F356" s="273">
        <f t="shared" si="36"/>
        <v>-0.652363019536563</v>
      </c>
      <c r="G356" s="333">
        <f>'ERR &amp; Sensitivity Analysis'!$D$13</f>
        <v>84</v>
      </c>
      <c r="H356" s="332">
        <f>'ERR &amp; Sensitivity Analysis'!$D$14</f>
        <v>0.1</v>
      </c>
      <c r="I356" s="273">
        <f t="shared" si="37"/>
        <v>24.991999200000002</v>
      </c>
      <c r="J356" s="272">
        <f t="shared" si="38"/>
        <v>74.79065997334126</v>
      </c>
      <c r="K356" s="272">
        <f t="shared" si="39"/>
        <v>24.16313704256062</v>
      </c>
      <c r="L356" s="272">
        <f t="shared" si="40"/>
        <v>24.991999200000002</v>
      </c>
      <c r="M356" s="274">
        <f t="shared" si="41"/>
        <v>25.63552373078064</v>
      </c>
    </row>
    <row r="357" spans="2:13" ht="12.75">
      <c r="B357" s="271">
        <v>3.36</v>
      </c>
      <c r="C357" s="272">
        <v>2.589286</v>
      </c>
      <c r="D357" s="272">
        <v>2.589286</v>
      </c>
      <c r="E357" s="273">
        <f t="shared" si="35"/>
        <v>8.611196210823138</v>
      </c>
      <c r="F357" s="273">
        <f t="shared" si="36"/>
        <v>-0.9892158010803862</v>
      </c>
      <c r="G357" s="333">
        <f>'ERR &amp; Sensitivity Analysis'!$D$13</f>
        <v>84</v>
      </c>
      <c r="H357" s="332">
        <f>'ERR &amp; Sensitivity Analysis'!$D$14</f>
        <v>0.1</v>
      </c>
      <c r="I357" s="273">
        <f t="shared" si="37"/>
        <v>8.364000959999998</v>
      </c>
      <c r="J357" s="272">
        <f t="shared" si="38"/>
        <v>806.7359499625738</v>
      </c>
      <c r="K357" s="272">
        <f t="shared" si="39"/>
        <v>778.9173829798773</v>
      </c>
      <c r="L357" s="272">
        <f t="shared" si="40"/>
        <v>8.364000959999998</v>
      </c>
      <c r="M357" s="274">
        <f t="shared" si="41"/>
        <v>19.454566022696554</v>
      </c>
    </row>
    <row r="358" spans="2:13" ht="12.75">
      <c r="B358" s="271">
        <v>11.76</v>
      </c>
      <c r="C358" s="272">
        <v>2.593538</v>
      </c>
      <c r="D358" s="272">
        <v>2.593538</v>
      </c>
      <c r="E358" s="273">
        <f t="shared" si="35"/>
        <v>20.910459432221227</v>
      </c>
      <c r="F358" s="273">
        <f t="shared" si="36"/>
        <v>-0.6039157110784277</v>
      </c>
      <c r="G358" s="333">
        <f>'ERR &amp; Sensitivity Analysis'!$D$13</f>
        <v>84</v>
      </c>
      <c r="H358" s="332">
        <f>'ERR &amp; Sensitivity Analysis'!$D$14</f>
        <v>0.1</v>
      </c>
      <c r="I358" s="273">
        <f t="shared" si="37"/>
        <v>29.32400688</v>
      </c>
      <c r="J358" s="272">
        <f t="shared" si="38"/>
        <v>77.00382906639155</v>
      </c>
      <c r="K358" s="272">
        <f t="shared" si="39"/>
        <v>21.207607155716456</v>
      </c>
      <c r="L358" s="272">
        <f t="shared" si="40"/>
        <v>29.32400688</v>
      </c>
      <c r="M358" s="274">
        <f t="shared" si="41"/>
        <v>26.472215030675088</v>
      </c>
    </row>
    <row r="359" spans="2:13" ht="12.75">
      <c r="B359" s="271">
        <v>5.472</v>
      </c>
      <c r="C359" s="272">
        <v>2.604167</v>
      </c>
      <c r="D359" s="272">
        <v>2.604167</v>
      </c>
      <c r="E359" s="273">
        <f t="shared" si="35"/>
        <v>12.201652239370512</v>
      </c>
      <c r="F359" s="273">
        <f t="shared" si="36"/>
        <v>-0.837860643103813</v>
      </c>
      <c r="G359" s="333">
        <f>'ERR &amp; Sensitivity Analysis'!$D$13</f>
        <v>84</v>
      </c>
      <c r="H359" s="332">
        <f>'ERR &amp; Sensitivity Analysis'!$D$14</f>
        <v>0.1</v>
      </c>
      <c r="I359" s="273">
        <f t="shared" si="37"/>
        <v>13.702801824</v>
      </c>
      <c r="J359" s="272">
        <f t="shared" si="38"/>
        <v>87.8873710663837</v>
      </c>
      <c r="K359" s="272">
        <f t="shared" si="39"/>
        <v>51.80728578674622</v>
      </c>
      <c r="L359" s="272">
        <f t="shared" si="40"/>
        <v>13.702801824</v>
      </c>
      <c r="M359" s="274">
        <f t="shared" si="41"/>
        <v>22.377283455637475</v>
      </c>
    </row>
    <row r="360" spans="2:13" ht="12.75">
      <c r="B360" s="271">
        <v>6.72</v>
      </c>
      <c r="C360" s="272">
        <v>2.752976</v>
      </c>
      <c r="D360" s="272">
        <v>2.752976</v>
      </c>
      <c r="E360" s="273">
        <f t="shared" si="35"/>
        <v>14.535557466058405</v>
      </c>
      <c r="F360" s="273">
        <f t="shared" si="36"/>
        <v>-0.761847593623108</v>
      </c>
      <c r="G360" s="333">
        <f>'ERR &amp; Sensitivity Analysis'!$D$13</f>
        <v>84</v>
      </c>
      <c r="H360" s="332">
        <f>'ERR &amp; Sensitivity Analysis'!$D$14</f>
        <v>0.1</v>
      </c>
      <c r="I360" s="273">
        <f t="shared" si="37"/>
        <v>17.827998719999997</v>
      </c>
      <c r="J360" s="272">
        <f t="shared" si="38"/>
        <v>77.68134280668373</v>
      </c>
      <c r="K360" s="272">
        <f t="shared" si="39"/>
        <v>35.271531066146125</v>
      </c>
      <c r="L360" s="272">
        <f t="shared" si="40"/>
        <v>17.827998719999997</v>
      </c>
      <c r="M360" s="274">
        <f t="shared" si="41"/>
        <v>24.58181302053761</v>
      </c>
    </row>
    <row r="361" spans="2:13" ht="12.75">
      <c r="B361" s="271">
        <v>19.6</v>
      </c>
      <c r="C361" s="272">
        <v>2.767857</v>
      </c>
      <c r="D361" s="272">
        <v>2.767857</v>
      </c>
      <c r="E361" s="273">
        <f t="shared" si="35"/>
        <v>30.621515336070754</v>
      </c>
      <c r="F361" s="273">
        <f t="shared" si="36"/>
        <v>-0.43825260767449015</v>
      </c>
      <c r="G361" s="333">
        <f>'ERR &amp; Sensitivity Analysis'!$D$13</f>
        <v>84</v>
      </c>
      <c r="H361" s="332">
        <f>'ERR &amp; Sensitivity Analysis'!$D$14</f>
        <v>0.1</v>
      </c>
      <c r="I361" s="273">
        <f t="shared" si="37"/>
        <v>52.289997199999995</v>
      </c>
      <c r="J361" s="272">
        <f t="shared" si="38"/>
        <v>96.5736520385382</v>
      </c>
      <c r="K361" s="272">
        <f t="shared" si="39"/>
        <v>14.95334044226865</v>
      </c>
      <c r="L361" s="272">
        <f t="shared" si="40"/>
        <v>52.289997199999995</v>
      </c>
      <c r="M361" s="274">
        <f t="shared" si="41"/>
        <v>29.33031439626955</v>
      </c>
    </row>
    <row r="362" spans="2:13" ht="12.75">
      <c r="B362" s="271">
        <v>10.64</v>
      </c>
      <c r="C362" s="272">
        <v>2.819549</v>
      </c>
      <c r="D362" s="272">
        <v>2.819549</v>
      </c>
      <c r="E362" s="273">
        <f t="shared" si="35"/>
        <v>20.207025594953762</v>
      </c>
      <c r="F362" s="273">
        <f t="shared" si="36"/>
        <v>-0.6187768945043093</v>
      </c>
      <c r="G362" s="333">
        <f>'ERR &amp; Sensitivity Analysis'!$D$13</f>
        <v>84</v>
      </c>
      <c r="H362" s="332">
        <f>'ERR &amp; Sensitivity Analysis'!$D$14</f>
        <v>0.1</v>
      </c>
      <c r="I362" s="273">
        <f t="shared" si="37"/>
        <v>28.93600136</v>
      </c>
      <c r="J362" s="272">
        <f t="shared" si="38"/>
        <v>78.69407947084444</v>
      </c>
      <c r="K362" s="272">
        <f t="shared" si="39"/>
        <v>22.034341252946312</v>
      </c>
      <c r="L362" s="272">
        <f t="shared" si="40"/>
        <v>28.93600136</v>
      </c>
      <c r="M362" s="274">
        <f t="shared" si="41"/>
        <v>27.723736857898132</v>
      </c>
    </row>
    <row r="363" spans="2:13" ht="12.75">
      <c r="B363" s="271">
        <v>0.708</v>
      </c>
      <c r="C363" s="272">
        <v>2.824859</v>
      </c>
      <c r="D363" s="272">
        <v>2.824859</v>
      </c>
      <c r="E363" s="273">
        <f t="shared" si="35"/>
        <v>3.124262302106413</v>
      </c>
      <c r="F363" s="273">
        <f t="shared" si="36"/>
        <v>-1.4295317974842556</v>
      </c>
      <c r="G363" s="333">
        <f>'ERR &amp; Sensitivity Analysis'!$D$13</f>
        <v>84</v>
      </c>
      <c r="H363" s="332">
        <f>'ERR &amp; Sensitivity Analysis'!$D$14</f>
        <v>0.1</v>
      </c>
      <c r="I363" s="273">
        <f t="shared" si="37"/>
        <v>1.9292001719999998</v>
      </c>
      <c r="J363" s="272">
        <f t="shared" si="38"/>
        <v>-4.656233097791343</v>
      </c>
      <c r="K363" s="272">
        <f t="shared" si="39"/>
        <v>-19.55617732889241</v>
      </c>
      <c r="L363" s="272">
        <f t="shared" si="40"/>
        <v>1.9292001719999998</v>
      </c>
      <c r="M363" s="274">
        <f t="shared" si="41"/>
        <v>12.970744059101067</v>
      </c>
    </row>
    <row r="364" spans="2:13" ht="12.75">
      <c r="B364" s="271">
        <v>2.1</v>
      </c>
      <c r="C364" s="272">
        <v>2.857143</v>
      </c>
      <c r="D364" s="272">
        <v>2.857143</v>
      </c>
      <c r="E364" s="273">
        <f t="shared" si="35"/>
        <v>6.666715928642387</v>
      </c>
      <c r="F364" s="273">
        <f t="shared" si="36"/>
        <v>-1.100367335998786</v>
      </c>
      <c r="G364" s="333">
        <f>'ERR &amp; Sensitivity Analysis'!$D$13</f>
        <v>84</v>
      </c>
      <c r="H364" s="332">
        <f>'ERR &amp; Sensitivity Analysis'!$D$14</f>
        <v>0.1</v>
      </c>
      <c r="I364" s="273">
        <f t="shared" si="37"/>
        <v>5.790000300000001</v>
      </c>
      <c r="J364" s="272">
        <f t="shared" si="38"/>
        <v>-59.78040804104409</v>
      </c>
      <c r="K364" s="272">
        <f t="shared" si="39"/>
        <v>-83.69256707283337</v>
      </c>
      <c r="L364" s="272">
        <f t="shared" si="40"/>
        <v>5.790000300000001</v>
      </c>
      <c r="M364" s="274">
        <f t="shared" si="41"/>
        <v>18.122158731789277</v>
      </c>
    </row>
    <row r="365" spans="2:13" ht="12.75">
      <c r="B365" s="271">
        <v>9.576</v>
      </c>
      <c r="C365" s="272">
        <v>2.871763</v>
      </c>
      <c r="D365" s="272">
        <v>2.871763</v>
      </c>
      <c r="E365" s="273">
        <f t="shared" si="35"/>
        <v>18.945389486047006</v>
      </c>
      <c r="F365" s="273">
        <f t="shared" si="36"/>
        <v>-0.6467757479788591</v>
      </c>
      <c r="G365" s="333">
        <f>'ERR &amp; Sensitivity Analysis'!$D$13</f>
        <v>84</v>
      </c>
      <c r="H365" s="332">
        <f>'ERR &amp; Sensitivity Analysis'!$D$14</f>
        <v>0.1</v>
      </c>
      <c r="I365" s="273">
        <f t="shared" si="37"/>
        <v>26.542402488</v>
      </c>
      <c r="J365" s="272">
        <f t="shared" si="38"/>
        <v>77.85423093302805</v>
      </c>
      <c r="K365" s="272">
        <f t="shared" si="39"/>
        <v>23.780926569836005</v>
      </c>
      <c r="L365" s="272">
        <f t="shared" si="40"/>
        <v>26.542402488</v>
      </c>
      <c r="M365" s="274">
        <f t="shared" si="41"/>
        <v>27.530901875192043</v>
      </c>
    </row>
    <row r="366" spans="2:13" ht="12.75">
      <c r="B366" s="271">
        <v>7.952</v>
      </c>
      <c r="C366" s="272">
        <v>2.892354</v>
      </c>
      <c r="D366" s="272">
        <v>2.892354</v>
      </c>
      <c r="E366" s="273">
        <f t="shared" si="35"/>
        <v>16.73574172671436</v>
      </c>
      <c r="F366" s="273">
        <f t="shared" si="36"/>
        <v>-0.7006343210453678</v>
      </c>
      <c r="G366" s="333">
        <f>'ERR &amp; Sensitivity Analysis'!$D$13</f>
        <v>84</v>
      </c>
      <c r="H366" s="332">
        <f>'ERR &amp; Sensitivity Analysis'!$D$14</f>
        <v>0.1</v>
      </c>
      <c r="I366" s="273">
        <f t="shared" si="37"/>
        <v>22.204799008</v>
      </c>
      <c r="J366" s="272">
        <f t="shared" si="38"/>
        <v>76.82911110022592</v>
      </c>
      <c r="K366" s="272">
        <f t="shared" si="39"/>
        <v>28.059328742467468</v>
      </c>
      <c r="L366" s="272">
        <f t="shared" si="40"/>
        <v>22.204799008</v>
      </c>
      <c r="M366" s="274">
        <f t="shared" si="41"/>
        <v>26.564983349758446</v>
      </c>
    </row>
    <row r="367" spans="2:13" ht="12.75">
      <c r="B367" s="271">
        <v>11.564</v>
      </c>
      <c r="C367" s="272">
        <v>2.91854</v>
      </c>
      <c r="D367" s="272">
        <v>2.91854</v>
      </c>
      <c r="E367" s="273">
        <f t="shared" si="35"/>
        <v>21.702790229281792</v>
      </c>
      <c r="F367" s="273">
        <f t="shared" si="36"/>
        <v>-0.587763713352505</v>
      </c>
      <c r="G367" s="333">
        <f>'ERR &amp; Sensitivity Analysis'!$D$13</f>
        <v>84</v>
      </c>
      <c r="H367" s="332">
        <f>'ERR &amp; Sensitivity Analysis'!$D$14</f>
        <v>0.1</v>
      </c>
      <c r="I367" s="273">
        <f t="shared" si="37"/>
        <v>32.59359656</v>
      </c>
      <c r="J367" s="272">
        <f t="shared" si="38"/>
        <v>81.87051371549872</v>
      </c>
      <c r="K367" s="272">
        <f t="shared" si="39"/>
        <v>20.37666326832329</v>
      </c>
      <c r="L367" s="272">
        <f t="shared" si="40"/>
        <v>32.59359656</v>
      </c>
      <c r="M367" s="274">
        <f t="shared" si="41"/>
        <v>28.900253887175424</v>
      </c>
    </row>
    <row r="368" spans="2:13" ht="12.75">
      <c r="B368" s="271">
        <v>1.368</v>
      </c>
      <c r="C368" s="272">
        <v>2.923977</v>
      </c>
      <c r="D368" s="272">
        <v>2.923977</v>
      </c>
      <c r="E368" s="273">
        <f t="shared" si="35"/>
        <v>5.063846586981598</v>
      </c>
      <c r="F368" s="273">
        <f t="shared" si="36"/>
        <v>-1.2197987461293172</v>
      </c>
      <c r="G368" s="333">
        <f>'ERR &amp; Sensitivity Analysis'!$D$13</f>
        <v>84</v>
      </c>
      <c r="H368" s="332">
        <f>'ERR &amp; Sensitivity Analysis'!$D$14</f>
        <v>0.1</v>
      </c>
      <c r="I368" s="273">
        <f t="shared" si="37"/>
        <v>3.863200536</v>
      </c>
      <c r="J368" s="272">
        <f t="shared" si="38"/>
        <v>-18.19846840093722</v>
      </c>
      <c r="K368" s="272">
        <f t="shared" si="39"/>
        <v>-38.21677852091983</v>
      </c>
      <c r="L368" s="272">
        <f t="shared" si="40"/>
        <v>3.863200536</v>
      </c>
      <c r="M368" s="274">
        <f t="shared" si="41"/>
        <v>16.15510958398261</v>
      </c>
    </row>
    <row r="369" spans="2:13" ht="12.75">
      <c r="B369" s="271">
        <v>1.68</v>
      </c>
      <c r="C369" s="272">
        <v>2.976191</v>
      </c>
      <c r="D369" s="272">
        <v>2.976191</v>
      </c>
      <c r="E369" s="273">
        <f t="shared" si="35"/>
        <v>5.907292396180436</v>
      </c>
      <c r="F369" s="273">
        <f t="shared" si="36"/>
        <v>-1.152890818182788</v>
      </c>
      <c r="G369" s="333">
        <f>'ERR &amp; Sensitivity Analysis'!$D$13</f>
        <v>84</v>
      </c>
      <c r="H369" s="332">
        <f>'ERR &amp; Sensitivity Analysis'!$D$14</f>
        <v>0.1</v>
      </c>
      <c r="I369" s="273">
        <f t="shared" si="37"/>
        <v>4.83200088</v>
      </c>
      <c r="J369" s="272">
        <f t="shared" si="38"/>
        <v>-32.703081450072894</v>
      </c>
      <c r="K369" s="272">
        <f t="shared" si="39"/>
        <v>-54.94116716647702</v>
      </c>
      <c r="L369" s="272">
        <f t="shared" si="40"/>
        <v>4.83200088</v>
      </c>
      <c r="M369" s="274">
        <f t="shared" si="41"/>
        <v>17.40608483640413</v>
      </c>
    </row>
    <row r="370" spans="2:13" ht="12.75">
      <c r="B370" s="271">
        <v>6.72</v>
      </c>
      <c r="C370" s="272">
        <v>2.976191</v>
      </c>
      <c r="D370" s="272">
        <v>2.976191</v>
      </c>
      <c r="E370" s="273">
        <f t="shared" si="35"/>
        <v>15.133370565104052</v>
      </c>
      <c r="F370" s="273">
        <f t="shared" si="36"/>
        <v>-0.7443436194531174</v>
      </c>
      <c r="G370" s="333">
        <f>'ERR &amp; Sensitivity Analysis'!$D$13</f>
        <v>84</v>
      </c>
      <c r="H370" s="332">
        <f>'ERR &amp; Sensitivity Analysis'!$D$14</f>
        <v>0.1</v>
      </c>
      <c r="I370" s="273">
        <f t="shared" si="37"/>
        <v>19.32800352</v>
      </c>
      <c r="J370" s="272">
        <f t="shared" si="38"/>
        <v>78.23001904829195</v>
      </c>
      <c r="K370" s="272">
        <f t="shared" si="39"/>
        <v>32.85660221752063</v>
      </c>
      <c r="L370" s="272">
        <f t="shared" si="40"/>
        <v>19.32800352</v>
      </c>
      <c r="M370" s="274">
        <f t="shared" si="41"/>
        <v>26.04541331077132</v>
      </c>
    </row>
    <row r="371" spans="2:13" ht="12.75">
      <c r="B371" s="271">
        <v>10.08</v>
      </c>
      <c r="C371" s="272">
        <v>2.976191</v>
      </c>
      <c r="D371" s="272">
        <v>2.976191</v>
      </c>
      <c r="E371" s="273">
        <f t="shared" si="35"/>
        <v>19.926364123945685</v>
      </c>
      <c r="F371" s="273">
        <f t="shared" si="36"/>
        <v>-0.6248512239373518</v>
      </c>
      <c r="G371" s="333">
        <f>'ERR &amp; Sensitivity Analysis'!$D$13</f>
        <v>84</v>
      </c>
      <c r="H371" s="332">
        <f>'ERR &amp; Sensitivity Analysis'!$D$14</f>
        <v>0.1</v>
      </c>
      <c r="I371" s="273">
        <f t="shared" si="37"/>
        <v>28.99200528</v>
      </c>
      <c r="J371" s="272">
        <f t="shared" si="38"/>
        <v>79.96828776802441</v>
      </c>
      <c r="K371" s="272">
        <f t="shared" si="39"/>
        <v>22.39111663421031</v>
      </c>
      <c r="L371" s="272">
        <f t="shared" si="40"/>
        <v>28.99200528</v>
      </c>
      <c r="M371" s="274">
        <f t="shared" si="41"/>
        <v>28.585165853814104</v>
      </c>
    </row>
    <row r="372" spans="2:13" ht="12.75">
      <c r="B372" s="271">
        <v>10.08</v>
      </c>
      <c r="C372" s="272">
        <v>2.976191</v>
      </c>
      <c r="D372" s="272">
        <v>2.976191</v>
      </c>
      <c r="E372" s="273">
        <f t="shared" si="35"/>
        <v>19.926364123945685</v>
      </c>
      <c r="F372" s="273">
        <f t="shared" si="36"/>
        <v>-0.6248512239373518</v>
      </c>
      <c r="G372" s="333">
        <f>'ERR &amp; Sensitivity Analysis'!$D$13</f>
        <v>84</v>
      </c>
      <c r="H372" s="332">
        <f>'ERR &amp; Sensitivity Analysis'!$D$14</f>
        <v>0.1</v>
      </c>
      <c r="I372" s="273">
        <f t="shared" si="37"/>
        <v>28.99200528</v>
      </c>
      <c r="J372" s="272">
        <f t="shared" si="38"/>
        <v>79.96828776802441</v>
      </c>
      <c r="K372" s="272">
        <f t="shared" si="39"/>
        <v>22.39111663421031</v>
      </c>
      <c r="L372" s="272">
        <f t="shared" si="40"/>
        <v>28.99200528</v>
      </c>
      <c r="M372" s="274">
        <f t="shared" si="41"/>
        <v>28.585165853814104</v>
      </c>
    </row>
    <row r="373" spans="2:13" ht="12.75">
      <c r="B373" s="271">
        <v>5.6</v>
      </c>
      <c r="C373" s="272">
        <v>3.032143</v>
      </c>
      <c r="D373" s="272">
        <v>3.032143</v>
      </c>
      <c r="E373" s="273">
        <f t="shared" si="35"/>
        <v>13.507077003919923</v>
      </c>
      <c r="F373" s="273">
        <f t="shared" si="36"/>
        <v>-0.7937179102755917</v>
      </c>
      <c r="G373" s="333">
        <f>'ERR &amp; Sensitivity Analysis'!$D$13</f>
        <v>84</v>
      </c>
      <c r="H373" s="332">
        <f>'ERR &amp; Sensitivity Analysis'!$D$14</f>
        <v>0.1</v>
      </c>
      <c r="I373" s="273">
        <f t="shared" si="37"/>
        <v>16.4200008</v>
      </c>
      <c r="J373" s="272">
        <f t="shared" si="38"/>
        <v>82.3144695823335</v>
      </c>
      <c r="K373" s="272">
        <f t="shared" si="39"/>
        <v>40.720937097458894</v>
      </c>
      <c r="L373" s="272">
        <f t="shared" si="40"/>
        <v>16.4200008</v>
      </c>
      <c r="M373" s="274">
        <f t="shared" si="41"/>
        <v>25.173531684874607</v>
      </c>
    </row>
    <row r="374" spans="2:13" ht="12.75">
      <c r="B374" s="271">
        <v>6.72</v>
      </c>
      <c r="C374" s="272">
        <v>3.050595</v>
      </c>
      <c r="D374" s="272">
        <v>3.050595</v>
      </c>
      <c r="E374" s="273">
        <f t="shared" si="35"/>
        <v>15.321916324239107</v>
      </c>
      <c r="F374" s="273">
        <f t="shared" si="36"/>
        <v>-0.738966199812595</v>
      </c>
      <c r="G374" s="333">
        <f>'ERR &amp; Sensitivity Analysis'!$D$13</f>
        <v>84</v>
      </c>
      <c r="H374" s="332">
        <f>'ERR &amp; Sensitivity Analysis'!$D$14</f>
        <v>0.1</v>
      </c>
      <c r="I374" s="273">
        <f t="shared" si="37"/>
        <v>19.8279984</v>
      </c>
      <c r="J374" s="272">
        <f t="shared" si="38"/>
        <v>78.53388482749115</v>
      </c>
      <c r="K374" s="272">
        <f t="shared" si="39"/>
        <v>32.17974068480541</v>
      </c>
      <c r="L374" s="272">
        <f t="shared" si="40"/>
        <v>19.8279984</v>
      </c>
      <c r="M374" s="274">
        <f t="shared" si="41"/>
        <v>26.526145742685742</v>
      </c>
    </row>
    <row r="375" spans="2:13" ht="12.75">
      <c r="B375" s="271">
        <v>6.384</v>
      </c>
      <c r="C375" s="272">
        <v>3.132832</v>
      </c>
      <c r="D375" s="272">
        <v>3.132832</v>
      </c>
      <c r="E375" s="273">
        <f t="shared" si="35"/>
        <v>15.001288948395175</v>
      </c>
      <c r="F375" s="273">
        <f t="shared" si="36"/>
        <v>-0.7481507097311468</v>
      </c>
      <c r="G375" s="333">
        <f>'ERR &amp; Sensitivity Analysis'!$D$13</f>
        <v>84</v>
      </c>
      <c r="H375" s="332">
        <f>'ERR &amp; Sensitivity Analysis'!$D$14</f>
        <v>0.1</v>
      </c>
      <c r="I375" s="273">
        <f t="shared" si="37"/>
        <v>19.361599488</v>
      </c>
      <c r="J375" s="272">
        <f t="shared" si="38"/>
        <v>79.41257037750506</v>
      </c>
      <c r="K375" s="272">
        <f t="shared" si="39"/>
        <v>33.35328041239612</v>
      </c>
      <c r="L375" s="272">
        <f t="shared" si="40"/>
        <v>19.361599488</v>
      </c>
      <c r="M375" s="274">
        <f t="shared" si="41"/>
        <v>26.697690477108946</v>
      </c>
    </row>
    <row r="376" spans="2:13" ht="12.75">
      <c r="B376" s="271">
        <v>6.72</v>
      </c>
      <c r="C376" s="272">
        <v>3.199405</v>
      </c>
      <c r="D376" s="272">
        <v>3.199405</v>
      </c>
      <c r="E376" s="273">
        <f t="shared" si="35"/>
        <v>15.68443734378349</v>
      </c>
      <c r="F376" s="273">
        <f t="shared" si="36"/>
        <v>-0.728810342427097</v>
      </c>
      <c r="G376" s="333">
        <f>'ERR &amp; Sensitivity Analysis'!$D$13</f>
        <v>84</v>
      </c>
      <c r="H376" s="332">
        <f>'ERR &amp; Sensitivity Analysis'!$D$14</f>
        <v>0.1</v>
      </c>
      <c r="I376" s="273">
        <f t="shared" si="37"/>
        <v>20.8280016</v>
      </c>
      <c r="J376" s="272">
        <f t="shared" si="38"/>
        <v>79.28031545310765</v>
      </c>
      <c r="K376" s="272">
        <f t="shared" si="39"/>
        <v>30.974632569613593</v>
      </c>
      <c r="L376" s="272">
        <f t="shared" si="40"/>
        <v>20.8280016</v>
      </c>
      <c r="M376" s="274">
        <f t="shared" si="41"/>
        <v>27.477681283494057</v>
      </c>
    </row>
    <row r="377" spans="2:13" ht="12.75">
      <c r="B377" s="271">
        <v>6.384</v>
      </c>
      <c r="C377" s="272">
        <v>3.211153</v>
      </c>
      <c r="D377" s="272">
        <v>3.211153</v>
      </c>
      <c r="E377" s="273">
        <f t="shared" si="35"/>
        <v>15.186358733255675</v>
      </c>
      <c r="F377" s="273">
        <f t="shared" si="36"/>
        <v>-0.7428256314633995</v>
      </c>
      <c r="G377" s="333">
        <f>'ERR &amp; Sensitivity Analysis'!$D$13</f>
        <v>84</v>
      </c>
      <c r="H377" s="332">
        <f>'ERR &amp; Sensitivity Analysis'!$D$14</f>
        <v>0.1</v>
      </c>
      <c r="I377" s="273">
        <f t="shared" si="37"/>
        <v>19.861600752</v>
      </c>
      <c r="J377" s="272">
        <f t="shared" si="38"/>
        <v>79.71245683872452</v>
      </c>
      <c r="K377" s="272">
        <f t="shared" si="39"/>
        <v>32.662664043071366</v>
      </c>
      <c r="L377" s="272">
        <f t="shared" si="40"/>
        <v>19.861600752</v>
      </c>
      <c r="M377" s="274">
        <f t="shared" si="41"/>
        <v>27.188192043653153</v>
      </c>
    </row>
    <row r="378" spans="2:13" ht="12.75">
      <c r="B378" s="271">
        <v>10.08</v>
      </c>
      <c r="C378" s="272">
        <v>3.212301</v>
      </c>
      <c r="D378" s="272">
        <v>3.212301</v>
      </c>
      <c r="E378" s="273">
        <f t="shared" si="35"/>
        <v>20.567289454209725</v>
      </c>
      <c r="F378" s="273">
        <f t="shared" si="36"/>
        <v>-0.6111022259007362</v>
      </c>
      <c r="G378" s="333">
        <f>'ERR &amp; Sensitivity Analysis'!$D$13</f>
        <v>84</v>
      </c>
      <c r="H378" s="332">
        <f>'ERR &amp; Sensitivity Analysis'!$D$14</f>
        <v>0.1</v>
      </c>
      <c r="I378" s="273">
        <f t="shared" si="37"/>
        <v>31.37199408</v>
      </c>
      <c r="J378" s="272">
        <f t="shared" si="38"/>
        <v>83.26093960037736</v>
      </c>
      <c r="K378" s="272">
        <f t="shared" si="39"/>
        <v>21.59950650130476</v>
      </c>
      <c r="L378" s="272">
        <f t="shared" si="40"/>
        <v>31.37199408</v>
      </c>
      <c r="M378" s="274">
        <f t="shared" si="41"/>
        <v>30.289439019072596</v>
      </c>
    </row>
    <row r="379" spans="2:13" ht="12.75">
      <c r="B379" s="271">
        <v>6.72</v>
      </c>
      <c r="C379" s="272">
        <v>3.27381</v>
      </c>
      <c r="D379" s="272">
        <v>3.27381</v>
      </c>
      <c r="E379" s="273">
        <f t="shared" si="35"/>
        <v>15.858854972239273</v>
      </c>
      <c r="F379" s="273">
        <f t="shared" si="36"/>
        <v>-0.724007458514707</v>
      </c>
      <c r="G379" s="333">
        <f>'ERR &amp; Sensitivity Analysis'!$D$13</f>
        <v>84</v>
      </c>
      <c r="H379" s="332">
        <f>'ERR &amp; Sensitivity Analysis'!$D$14</f>
        <v>0.1</v>
      </c>
      <c r="I379" s="273">
        <f t="shared" si="37"/>
        <v>21.328003199999998</v>
      </c>
      <c r="J379" s="272">
        <f t="shared" si="38"/>
        <v>79.71231063565655</v>
      </c>
      <c r="K379" s="272">
        <f t="shared" si="39"/>
        <v>30.435605088435405</v>
      </c>
      <c r="L379" s="272">
        <f t="shared" si="40"/>
        <v>21.328003199999998</v>
      </c>
      <c r="M379" s="274">
        <f t="shared" si="41"/>
        <v>27.948702347221143</v>
      </c>
    </row>
    <row r="380" spans="2:13" ht="12.75">
      <c r="B380" s="271">
        <v>3.192</v>
      </c>
      <c r="C380" s="272">
        <v>3.289474</v>
      </c>
      <c r="D380" s="272">
        <v>3.289474</v>
      </c>
      <c r="E380" s="273">
        <f t="shared" si="35"/>
        <v>9.730981802744342</v>
      </c>
      <c r="F380" s="273">
        <f t="shared" si="36"/>
        <v>-0.9361226256493181</v>
      </c>
      <c r="G380" s="333">
        <f>'ERR &amp; Sensitivity Analysis'!$D$13</f>
        <v>84</v>
      </c>
      <c r="H380" s="332">
        <f>'ERR &amp; Sensitivity Analysis'!$D$14</f>
        <v>0.1</v>
      </c>
      <c r="I380" s="273">
        <f t="shared" si="37"/>
        <v>10.180801008</v>
      </c>
      <c r="J380" s="272">
        <f t="shared" si="38"/>
        <v>164.3774672132859</v>
      </c>
      <c r="K380" s="272">
        <f t="shared" si="39"/>
        <v>131.50196114644046</v>
      </c>
      <c r="L380" s="272">
        <f t="shared" si="40"/>
        <v>10.180801008</v>
      </c>
      <c r="M380" s="274">
        <f t="shared" si="41"/>
        <v>22.694705058845447</v>
      </c>
    </row>
    <row r="381" spans="2:13" ht="12.75">
      <c r="B381" s="271">
        <v>6.608</v>
      </c>
      <c r="C381" s="272">
        <v>3.404964</v>
      </c>
      <c r="D381" s="272">
        <v>3.404964</v>
      </c>
      <c r="E381" s="273">
        <f t="shared" si="35"/>
        <v>15.979714018506899</v>
      </c>
      <c r="F381" s="273">
        <f t="shared" si="36"/>
        <v>-0.7207102833802639</v>
      </c>
      <c r="G381" s="333">
        <f>'ERR &amp; Sensitivity Analysis'!$D$13</f>
        <v>84</v>
      </c>
      <c r="H381" s="332">
        <f>'ERR &amp; Sensitivity Analysis'!$D$14</f>
        <v>0.1</v>
      </c>
      <c r="I381" s="273">
        <f t="shared" si="37"/>
        <v>21.839202112</v>
      </c>
      <c r="J381" s="272">
        <f t="shared" si="38"/>
        <v>80.56151291325429</v>
      </c>
      <c r="K381" s="272">
        <f t="shared" si="39"/>
        <v>30.07629533112001</v>
      </c>
      <c r="L381" s="272">
        <f t="shared" si="40"/>
        <v>21.839202112</v>
      </c>
      <c r="M381" s="274">
        <f t="shared" si="41"/>
        <v>28.646015470134284</v>
      </c>
    </row>
    <row r="382" spans="2:13" ht="12.75">
      <c r="B382" s="271">
        <v>6.384</v>
      </c>
      <c r="C382" s="272">
        <v>3.446115</v>
      </c>
      <c r="D382" s="272">
        <v>3.446115</v>
      </c>
      <c r="E382" s="273">
        <f t="shared" si="35"/>
        <v>15.71348666944033</v>
      </c>
      <c r="F382" s="273">
        <f t="shared" si="36"/>
        <v>-0.728006724619105</v>
      </c>
      <c r="G382" s="333">
        <f>'ERR &amp; Sensitivity Analysis'!$D$13</f>
        <v>84</v>
      </c>
      <c r="H382" s="332">
        <f>'ERR &amp; Sensitivity Analysis'!$D$14</f>
        <v>0.1</v>
      </c>
      <c r="I382" s="273">
        <f t="shared" si="37"/>
        <v>21.36159816</v>
      </c>
      <c r="J382" s="272">
        <f t="shared" si="38"/>
        <v>80.88434586918208</v>
      </c>
      <c r="K382" s="272">
        <f t="shared" si="39"/>
        <v>30.883116460275627</v>
      </c>
      <c r="L382" s="272">
        <f t="shared" si="40"/>
        <v>21.36159816</v>
      </c>
      <c r="M382" s="274">
        <f t="shared" si="41"/>
        <v>28.639631248906454</v>
      </c>
    </row>
    <row r="383" spans="2:13" ht="12.75">
      <c r="B383" s="271">
        <v>1.12</v>
      </c>
      <c r="C383" s="272">
        <v>3.571429</v>
      </c>
      <c r="D383" s="272">
        <v>3.571429</v>
      </c>
      <c r="E383" s="273">
        <f t="shared" si="35"/>
        <v>5.209264066730483</v>
      </c>
      <c r="F383" s="273">
        <f t="shared" si="36"/>
        <v>-1.2075029129223078</v>
      </c>
      <c r="G383" s="333">
        <f>'ERR &amp; Sensitivity Analysis'!$D$13</f>
        <v>84</v>
      </c>
      <c r="H383" s="332">
        <f>'ERR &amp; Sensitivity Analysis'!$D$14</f>
        <v>0.1</v>
      </c>
      <c r="I383" s="273">
        <f t="shared" si="37"/>
        <v>3.8880004800000005</v>
      </c>
      <c r="J383" s="272">
        <f t="shared" si="38"/>
        <v>-19.276840135240224</v>
      </c>
      <c r="K383" s="272">
        <f t="shared" si="39"/>
        <v>-40.48135942624132</v>
      </c>
      <c r="L383" s="272">
        <f t="shared" si="40"/>
        <v>3.8880004800000005</v>
      </c>
      <c r="M383" s="274">
        <f t="shared" si="41"/>
        <v>17.316518811001096</v>
      </c>
    </row>
    <row r="384" spans="2:13" ht="12.75">
      <c r="B384" s="271">
        <v>5.6</v>
      </c>
      <c r="C384" s="272">
        <v>3.571429</v>
      </c>
      <c r="D384" s="272">
        <v>3.571429</v>
      </c>
      <c r="E384" s="273">
        <f t="shared" si="35"/>
        <v>14.68586171838951</v>
      </c>
      <c r="F384" s="273">
        <f t="shared" si="36"/>
        <v>-0.7573798514739697</v>
      </c>
      <c r="G384" s="333">
        <f>'ERR &amp; Sensitivity Analysis'!$D$13</f>
        <v>84</v>
      </c>
      <c r="H384" s="332">
        <f>'ERR &amp; Sensitivity Analysis'!$D$14</f>
        <v>0.1</v>
      </c>
      <c r="I384" s="273">
        <f t="shared" si="37"/>
        <v>19.4400024</v>
      </c>
      <c r="J384" s="272">
        <f t="shared" si="38"/>
        <v>82.43339442954068</v>
      </c>
      <c r="K384" s="272">
        <f t="shared" si="39"/>
        <v>34.6220215057645</v>
      </c>
      <c r="L384" s="272">
        <f t="shared" si="40"/>
        <v>19.4400024</v>
      </c>
      <c r="M384" s="274">
        <f t="shared" si="41"/>
        <v>28.371370523776182</v>
      </c>
    </row>
    <row r="385" spans="2:13" ht="12.75">
      <c r="B385" s="271">
        <v>10.08</v>
      </c>
      <c r="C385" s="272">
        <v>3.621032</v>
      </c>
      <c r="D385" s="272">
        <v>3.621032</v>
      </c>
      <c r="E385" s="273">
        <f t="shared" si="35"/>
        <v>21.5560268469066</v>
      </c>
      <c r="F385" s="273">
        <f t="shared" si="36"/>
        <v>-0.5907105702464422</v>
      </c>
      <c r="G385" s="333">
        <f>'ERR &amp; Sensitivity Analysis'!$D$13</f>
        <v>84</v>
      </c>
      <c r="H385" s="332">
        <f>'ERR &amp; Sensitivity Analysis'!$D$14</f>
        <v>0.1</v>
      </c>
      <c r="I385" s="273">
        <f t="shared" si="37"/>
        <v>35.49200256</v>
      </c>
      <c r="J385" s="272">
        <f t="shared" si="38"/>
        <v>89.17895236624476</v>
      </c>
      <c r="K385" s="272">
        <f t="shared" si="39"/>
        <v>20.52337389963339</v>
      </c>
      <c r="L385" s="272">
        <f t="shared" si="40"/>
        <v>35.49200256</v>
      </c>
      <c r="M385" s="274">
        <f t="shared" si="41"/>
        <v>33.16357590661136</v>
      </c>
    </row>
    <row r="386" spans="2:13" ht="12.75">
      <c r="B386" s="271">
        <v>5.04</v>
      </c>
      <c r="C386" s="272">
        <v>3.670635</v>
      </c>
      <c r="D386" s="272">
        <v>3.670635</v>
      </c>
      <c r="E386" s="273">
        <f t="shared" si="35"/>
        <v>13.912850936995412</v>
      </c>
      <c r="F386" s="273">
        <f t="shared" si="36"/>
        <v>-0.7808631539605619</v>
      </c>
      <c r="G386" s="333">
        <f>'ERR &amp; Sensitivity Analysis'!$D$13</f>
        <v>84</v>
      </c>
      <c r="H386" s="332">
        <f>'ERR &amp; Sensitivity Analysis'!$D$14</f>
        <v>0.1</v>
      </c>
      <c r="I386" s="273">
        <f t="shared" si="37"/>
        <v>17.9960004</v>
      </c>
      <c r="J386" s="272">
        <f t="shared" si="38"/>
        <v>84.42213500084122</v>
      </c>
      <c r="K386" s="272">
        <f t="shared" si="39"/>
        <v>38.332211820226036</v>
      </c>
      <c r="L386" s="272">
        <f t="shared" si="40"/>
        <v>17.9960004</v>
      </c>
      <c r="M386" s="274">
        <f t="shared" si="41"/>
        <v>28.093922780615188</v>
      </c>
    </row>
    <row r="387" spans="2:13" ht="12.75">
      <c r="B387" s="271">
        <v>6.384</v>
      </c>
      <c r="C387" s="272">
        <v>3.712406</v>
      </c>
      <c r="D387" s="272">
        <v>3.712406</v>
      </c>
      <c r="E387" s="273">
        <f t="shared" si="35"/>
        <v>16.265418117022268</v>
      </c>
      <c r="F387" s="273">
        <f t="shared" si="36"/>
        <v>-0.7130140543750498</v>
      </c>
      <c r="G387" s="333">
        <f>'ERR &amp; Sensitivity Analysis'!$D$13</f>
        <v>84</v>
      </c>
      <c r="H387" s="332">
        <f>'ERR &amp; Sensitivity Analysis'!$D$14</f>
        <v>0.1</v>
      </c>
      <c r="I387" s="273">
        <f t="shared" si="37"/>
        <v>23.061599904</v>
      </c>
      <c r="J387" s="272">
        <f t="shared" si="38"/>
        <v>82.58244093587963</v>
      </c>
      <c r="K387" s="272">
        <f t="shared" si="39"/>
        <v>29.269726019885336</v>
      </c>
      <c r="L387" s="272">
        <f t="shared" si="40"/>
        <v>23.061599904</v>
      </c>
      <c r="M387" s="274">
        <f t="shared" si="41"/>
        <v>30.25111501199429</v>
      </c>
    </row>
    <row r="388" spans="2:13" ht="12.75">
      <c r="B388" s="271">
        <v>6.264</v>
      </c>
      <c r="C388" s="272">
        <v>3.751596</v>
      </c>
      <c r="D388" s="272">
        <v>3.751596</v>
      </c>
      <c r="E388" s="273">
        <f t="shared" si="35"/>
        <v>16.147147311053168</v>
      </c>
      <c r="F388" s="273">
        <f t="shared" si="36"/>
        <v>-0.7161834786826577</v>
      </c>
      <c r="G388" s="333">
        <f>'ERR &amp; Sensitivity Analysis'!$D$13</f>
        <v>84</v>
      </c>
      <c r="H388" s="332">
        <f>'ERR &amp; Sensitivity Analysis'!$D$14</f>
        <v>0.1</v>
      </c>
      <c r="I388" s="273">
        <f t="shared" si="37"/>
        <v>22.873597344</v>
      </c>
      <c r="J388" s="272">
        <f t="shared" si="38"/>
        <v>82.79996257766851</v>
      </c>
      <c r="K388" s="272">
        <f t="shared" si="39"/>
        <v>29.5965857132318</v>
      </c>
      <c r="L388" s="272">
        <f t="shared" si="40"/>
        <v>22.873597344</v>
      </c>
      <c r="M388" s="274">
        <f t="shared" si="41"/>
        <v>30.329779520436706</v>
      </c>
    </row>
    <row r="389" spans="2:13" ht="12.75">
      <c r="B389" s="271">
        <v>5.46</v>
      </c>
      <c r="C389" s="272">
        <v>3.754579</v>
      </c>
      <c r="D389" s="272">
        <v>3.754579</v>
      </c>
      <c r="E389" s="273">
        <f t="shared" si="35"/>
        <v>14.803467677929792</v>
      </c>
      <c r="F389" s="273">
        <f t="shared" si="36"/>
        <v>-0.7539158262758147</v>
      </c>
      <c r="G389" s="333">
        <f>'ERR &amp; Sensitivity Analysis'!$D$13</f>
        <v>84</v>
      </c>
      <c r="H389" s="332">
        <f>'ERR &amp; Sensitivity Analysis'!$D$14</f>
        <v>0.1</v>
      </c>
      <c r="I389" s="273">
        <f t="shared" si="37"/>
        <v>19.95400134</v>
      </c>
      <c r="J389" s="272">
        <f t="shared" si="38"/>
        <v>83.30483439774837</v>
      </c>
      <c r="K389" s="272">
        <f t="shared" si="39"/>
        <v>34.134661619543415</v>
      </c>
      <c r="L389" s="272">
        <f t="shared" si="40"/>
        <v>19.95400134</v>
      </c>
      <c r="M389" s="274">
        <f t="shared" si="41"/>
        <v>29.21617143820495</v>
      </c>
    </row>
    <row r="390" spans="2:13" ht="12.75">
      <c r="B390" s="271">
        <v>3.192</v>
      </c>
      <c r="C390" s="272">
        <v>3.759399</v>
      </c>
      <c r="D390" s="272">
        <v>3.759399</v>
      </c>
      <c r="E390" s="273">
        <f t="shared" si="35"/>
        <v>10.534705020438766</v>
      </c>
      <c r="F390" s="273">
        <f t="shared" si="36"/>
        <v>-0.9016569065154143</v>
      </c>
      <c r="G390" s="333">
        <f>'ERR &amp; Sensitivity Analysis'!$D$13</f>
        <v>84</v>
      </c>
      <c r="H390" s="332">
        <f>'ERR &amp; Sensitivity Analysis'!$D$14</f>
        <v>0.1</v>
      </c>
      <c r="I390" s="273">
        <f t="shared" si="37"/>
        <v>11.680801608000001</v>
      </c>
      <c r="J390" s="272">
        <f t="shared" si="38"/>
        <v>122.0218032889201</v>
      </c>
      <c r="K390" s="272">
        <f t="shared" si="39"/>
        <v>85.41525085660047</v>
      </c>
      <c r="L390" s="272">
        <f t="shared" si="40"/>
        <v>11.680801608000001</v>
      </c>
      <c r="M390" s="274">
        <f t="shared" si="41"/>
        <v>24.92575082431963</v>
      </c>
    </row>
    <row r="391" spans="2:13" ht="12.75">
      <c r="B391" s="271">
        <v>6.888</v>
      </c>
      <c r="C391" s="272">
        <v>3.774681</v>
      </c>
      <c r="D391" s="272">
        <v>3.774681</v>
      </c>
      <c r="E391" s="273">
        <f t="shared" si="35"/>
        <v>17.197273939250493</v>
      </c>
      <c r="F391" s="273">
        <f t="shared" si="36"/>
        <v>-0.6888196767689305</v>
      </c>
      <c r="G391" s="333">
        <f>'ERR &amp; Sensitivity Analysis'!$D$13</f>
        <v>84</v>
      </c>
      <c r="H391" s="332">
        <f>'ERR &amp; Sensitivity Analysis'!$D$14</f>
        <v>0.1</v>
      </c>
      <c r="I391" s="273">
        <f t="shared" si="37"/>
        <v>25.311202728</v>
      </c>
      <c r="J391" s="272">
        <f t="shared" si="38"/>
        <v>83.55284954406801</v>
      </c>
      <c r="K391" s="272">
        <f t="shared" si="39"/>
        <v>26.993994712713604</v>
      </c>
      <c r="L391" s="272">
        <f t="shared" si="40"/>
        <v>25.311202728</v>
      </c>
      <c r="M391" s="274">
        <f t="shared" si="41"/>
        <v>31.247652103354408</v>
      </c>
    </row>
    <row r="392" spans="2:13" ht="12.75">
      <c r="B392" s="271">
        <v>0.4956</v>
      </c>
      <c r="C392" s="272">
        <v>4.035512</v>
      </c>
      <c r="D392" s="272">
        <v>4.035512</v>
      </c>
      <c r="E392" s="273">
        <f t="shared" si="35"/>
        <v>3.4369976488607246</v>
      </c>
      <c r="F392" s="273">
        <f t="shared" si="36"/>
        <v>-1.3881000510114074</v>
      </c>
      <c r="G392" s="333">
        <f>'ERR &amp; Sensitivity Analysis'!$D$13</f>
        <v>84</v>
      </c>
      <c r="H392" s="332">
        <f>'ERR &amp; Sensitivity Analysis'!$D$14</f>
        <v>0.1</v>
      </c>
      <c r="I392" s="273">
        <f t="shared" si="37"/>
        <v>1.9504397471999997</v>
      </c>
      <c r="J392" s="272">
        <f t="shared" si="38"/>
        <v>-5.153309673595518</v>
      </c>
      <c r="K392" s="272">
        <f t="shared" si="39"/>
        <v>-21.643903364890573</v>
      </c>
      <c r="L392" s="272">
        <f t="shared" si="40"/>
        <v>1.9504397471999997</v>
      </c>
      <c r="M392" s="274">
        <f t="shared" si="41"/>
        <v>14.540153944095055</v>
      </c>
    </row>
    <row r="393" spans="2:13" ht="12.75">
      <c r="B393" s="271">
        <v>6.72</v>
      </c>
      <c r="C393" s="272">
        <v>4.092262</v>
      </c>
      <c r="D393" s="272">
        <v>4.092262</v>
      </c>
      <c r="E393" s="273">
        <f t="shared" si="35"/>
        <v>17.530672654755637</v>
      </c>
      <c r="F393" s="273">
        <f t="shared" si="36"/>
        <v>-0.6804807056986069</v>
      </c>
      <c r="G393" s="333">
        <f>'ERR &amp; Sensitivity Analysis'!$D$13</f>
        <v>84</v>
      </c>
      <c r="H393" s="332">
        <f>'ERR &amp; Sensitivity Analysis'!$D$14</f>
        <v>0.1</v>
      </c>
      <c r="I393" s="273">
        <f t="shared" si="37"/>
        <v>26.82800064</v>
      </c>
      <c r="J393" s="272">
        <f t="shared" si="38"/>
        <v>86.06679199178521</v>
      </c>
      <c r="K393" s="272">
        <f t="shared" si="39"/>
        <v>26.28949221475349</v>
      </c>
      <c r="L393" s="272">
        <f t="shared" si="40"/>
        <v>26.82800064</v>
      </c>
      <c r="M393" s="274">
        <f t="shared" si="41"/>
        <v>32.949299137031716</v>
      </c>
    </row>
    <row r="394" spans="2:13" ht="12.75">
      <c r="B394" s="271">
        <v>1.19</v>
      </c>
      <c r="C394" s="272">
        <v>4.117647</v>
      </c>
      <c r="D394" s="272">
        <v>4.117647</v>
      </c>
      <c r="E394" s="273">
        <f t="shared" si="35"/>
        <v>6.01595559885259</v>
      </c>
      <c r="F394" s="273">
        <f t="shared" si="36"/>
        <v>-1.1449746638048368</v>
      </c>
      <c r="G394" s="333">
        <f>'ERR &amp; Sensitivity Analysis'!$D$13</f>
        <v>84</v>
      </c>
      <c r="H394" s="332">
        <f>'ERR &amp; Sensitivity Analysis'!$D$14</f>
        <v>0.1</v>
      </c>
      <c r="I394" s="273">
        <f t="shared" si="37"/>
        <v>4.78099993</v>
      </c>
      <c r="J394" s="272">
        <f t="shared" si="38"/>
        <v>-33.79900874677193</v>
      </c>
      <c r="K394" s="272">
        <f t="shared" si="39"/>
        <v>-57.94115867933987</v>
      </c>
      <c r="L394" s="272">
        <f t="shared" si="40"/>
        <v>4.78099993</v>
      </c>
      <c r="M394" s="274">
        <f t="shared" si="41"/>
        <v>19.36115000256794</v>
      </c>
    </row>
    <row r="395" spans="2:13" ht="12.75">
      <c r="B395" s="271">
        <v>3.192</v>
      </c>
      <c r="C395" s="272">
        <v>4.151002</v>
      </c>
      <c r="D395" s="272">
        <v>4.151002</v>
      </c>
      <c r="E395" s="273">
        <f t="shared" si="35"/>
        <v>11.132733223366765</v>
      </c>
      <c r="F395" s="273">
        <f t="shared" si="36"/>
        <v>-0.8776774839823781</v>
      </c>
      <c r="G395" s="333">
        <f>'ERR &amp; Sensitivity Analysis'!$D$13</f>
        <v>84</v>
      </c>
      <c r="H395" s="332">
        <f>'ERR &amp; Sensitivity Analysis'!$D$14</f>
        <v>0.1</v>
      </c>
      <c r="I395" s="273">
        <f t="shared" si="37"/>
        <v>12.930798384000003</v>
      </c>
      <c r="J395" s="272">
        <f t="shared" si="38"/>
        <v>108.32019169791432</v>
      </c>
      <c r="K395" s="272">
        <f t="shared" si="39"/>
        <v>68.67092235733517</v>
      </c>
      <c r="L395" s="272">
        <f t="shared" si="40"/>
        <v>12.930798384000003</v>
      </c>
      <c r="M395" s="274">
        <f t="shared" si="41"/>
        <v>26.71847095657915</v>
      </c>
    </row>
    <row r="396" spans="2:13" ht="12.75">
      <c r="B396" s="271">
        <v>3.36</v>
      </c>
      <c r="C396" s="272">
        <v>4.166667</v>
      </c>
      <c r="D396" s="272">
        <v>4.166667</v>
      </c>
      <c r="E396" s="273">
        <f t="shared" si="35"/>
        <v>11.51438738103243</v>
      </c>
      <c r="F396" s="273">
        <f t="shared" si="36"/>
        <v>-0.863038449633515</v>
      </c>
      <c r="G396" s="333">
        <f>'ERR &amp; Sensitivity Analysis'!$D$13</f>
        <v>84</v>
      </c>
      <c r="H396" s="332">
        <f>'ERR &amp; Sensitivity Analysis'!$D$14</f>
        <v>0.1</v>
      </c>
      <c r="I396" s="273">
        <f t="shared" si="37"/>
        <v>13.664001120000002</v>
      </c>
      <c r="J396" s="272">
        <f t="shared" si="38"/>
        <v>102.21847724809231</v>
      </c>
      <c r="K396" s="272">
        <f t="shared" si="39"/>
        <v>61.33108144236887</v>
      </c>
      <c r="L396" s="272">
        <f t="shared" si="40"/>
        <v>13.664001120000002</v>
      </c>
      <c r="M396" s="274">
        <f t="shared" si="41"/>
        <v>27.22339468572344</v>
      </c>
    </row>
    <row r="397" spans="2:13" ht="12.75">
      <c r="B397" s="271">
        <v>3.36</v>
      </c>
      <c r="C397" s="272">
        <v>4.166667</v>
      </c>
      <c r="D397" s="272">
        <v>4.166667</v>
      </c>
      <c r="E397" s="273">
        <f t="shared" si="35"/>
        <v>11.51438738103243</v>
      </c>
      <c r="F397" s="273">
        <f t="shared" si="36"/>
        <v>-0.863038449633515</v>
      </c>
      <c r="G397" s="333">
        <f>'ERR &amp; Sensitivity Analysis'!$D$13</f>
        <v>84</v>
      </c>
      <c r="H397" s="332">
        <f>'ERR &amp; Sensitivity Analysis'!$D$14</f>
        <v>0.1</v>
      </c>
      <c r="I397" s="273">
        <f t="shared" si="37"/>
        <v>13.664001120000002</v>
      </c>
      <c r="J397" s="272">
        <f t="shared" si="38"/>
        <v>102.21847724809231</v>
      </c>
      <c r="K397" s="272">
        <f t="shared" si="39"/>
        <v>61.33108144236887</v>
      </c>
      <c r="L397" s="272">
        <f t="shared" si="40"/>
        <v>13.664001120000002</v>
      </c>
      <c r="M397" s="274">
        <f t="shared" si="41"/>
        <v>27.22339468572344</v>
      </c>
    </row>
    <row r="398" spans="2:13" ht="12.75">
      <c r="B398" s="271">
        <v>4.956</v>
      </c>
      <c r="C398" s="272">
        <v>4.237288</v>
      </c>
      <c r="D398" s="272">
        <v>4.237288</v>
      </c>
      <c r="E398" s="273">
        <f t="shared" si="35"/>
        <v>14.752009492183973</v>
      </c>
      <c r="F398" s="273">
        <f t="shared" si="36"/>
        <v>-0.7554281029053512</v>
      </c>
      <c r="G398" s="333">
        <f>'ERR &amp; Sensitivity Analysis'!$D$13</f>
        <v>84</v>
      </c>
      <c r="H398" s="332">
        <f>'ERR &amp; Sensitivity Analysis'!$D$14</f>
        <v>0.1</v>
      </c>
      <c r="I398" s="273">
        <f t="shared" si="37"/>
        <v>20.504399328000005</v>
      </c>
      <c r="J398" s="272">
        <f t="shared" si="38"/>
        <v>85.86431874416482</v>
      </c>
      <c r="K398" s="272">
        <f t="shared" si="39"/>
        <v>34.345728596729245</v>
      </c>
      <c r="L398" s="272">
        <f t="shared" si="40"/>
        <v>20.504399328000005</v>
      </c>
      <c r="M398" s="274">
        <f t="shared" si="41"/>
        <v>31.01419081943557</v>
      </c>
    </row>
    <row r="399" spans="2:13" ht="12.75">
      <c r="B399" s="271">
        <v>6.72</v>
      </c>
      <c r="C399" s="272">
        <v>4.303571</v>
      </c>
      <c r="D399" s="272">
        <v>4.303571</v>
      </c>
      <c r="E399" s="273">
        <f t="shared" si="35"/>
        <v>17.90216093988808</v>
      </c>
      <c r="F399" s="273">
        <f t="shared" si="36"/>
        <v>-0.6713738289576643</v>
      </c>
      <c r="G399" s="333">
        <f>'ERR &amp; Sensitivity Analysis'!$D$13</f>
        <v>84</v>
      </c>
      <c r="H399" s="332">
        <f>'ERR &amp; Sensitivity Analysis'!$D$14</f>
        <v>0.1</v>
      </c>
      <c r="I399" s="273">
        <f t="shared" si="37"/>
        <v>28.24799712</v>
      </c>
      <c r="J399" s="272">
        <f t="shared" si="38"/>
        <v>88.00272062408062</v>
      </c>
      <c r="K399" s="272">
        <f t="shared" si="39"/>
        <v>25.560958743355418</v>
      </c>
      <c r="L399" s="272">
        <f t="shared" si="40"/>
        <v>28.24799712</v>
      </c>
      <c r="M399" s="274">
        <f t="shared" si="41"/>
        <v>34.19376476072521</v>
      </c>
    </row>
    <row r="400" spans="2:13" ht="12.75">
      <c r="B400" s="271">
        <v>1.82</v>
      </c>
      <c r="C400" s="272">
        <v>4.395605</v>
      </c>
      <c r="D400" s="272">
        <v>4.395605</v>
      </c>
      <c r="E400" s="273">
        <f t="shared" si="35"/>
        <v>8.154226226235073</v>
      </c>
      <c r="F400" s="273">
        <f t="shared" si="36"/>
        <v>-1.012896529958417</v>
      </c>
      <c r="G400" s="333">
        <f>'ERR &amp; Sensitivity Analysis'!$D$13</f>
        <v>84</v>
      </c>
      <c r="H400" s="332">
        <f>'ERR &amp; Sensitivity Analysis'!$D$14</f>
        <v>0.1</v>
      </c>
      <c r="I400" s="273">
        <f t="shared" si="37"/>
        <v>7.818001100000001</v>
      </c>
      <c r="J400" s="272">
        <f t="shared" si="38"/>
        <v>-620.3219878366415</v>
      </c>
      <c r="K400" s="272">
        <f t="shared" si="39"/>
        <v>-651.3379976694987</v>
      </c>
      <c r="L400" s="272">
        <f t="shared" si="40"/>
        <v>7.818001100000001</v>
      </c>
      <c r="M400" s="274">
        <f t="shared" si="41"/>
        <v>23.198008732857208</v>
      </c>
    </row>
    <row r="401" spans="2:13" ht="12.75">
      <c r="B401" s="271">
        <v>1.652</v>
      </c>
      <c r="C401" s="272">
        <v>4.430993</v>
      </c>
      <c r="D401" s="272">
        <v>4.430993</v>
      </c>
      <c r="E401" s="273">
        <f t="shared" si="35"/>
        <v>7.7264352665161935</v>
      </c>
      <c r="F401" s="273">
        <f t="shared" si="36"/>
        <v>-1.0363001157087552</v>
      </c>
      <c r="G401" s="333">
        <f>'ERR &amp; Sensitivity Analysis'!$D$13</f>
        <v>84</v>
      </c>
      <c r="H401" s="332">
        <f>'ERR &amp; Sensitivity Analysis'!$D$14</f>
        <v>0.1</v>
      </c>
      <c r="I401" s="273">
        <f t="shared" si="37"/>
        <v>7.154800436</v>
      </c>
      <c r="J401" s="272">
        <f t="shared" si="38"/>
        <v>-201.65226179250126</v>
      </c>
      <c r="K401" s="272">
        <f t="shared" si="39"/>
        <v>-231.40422106076113</v>
      </c>
      <c r="L401" s="272">
        <f t="shared" si="40"/>
        <v>7.154800436</v>
      </c>
      <c r="M401" s="274">
        <f t="shared" si="41"/>
        <v>22.597158832259865</v>
      </c>
    </row>
    <row r="402" spans="2:13" ht="12.75">
      <c r="B402" s="271">
        <v>4.984</v>
      </c>
      <c r="C402" s="272">
        <v>4.464285</v>
      </c>
      <c r="D402" s="272">
        <v>4.464285</v>
      </c>
      <c r="E402" s="273">
        <f t="shared" si="35"/>
        <v>15.160453112886211</v>
      </c>
      <c r="F402" s="273">
        <f t="shared" si="36"/>
        <v>-0.7435671044567835</v>
      </c>
      <c r="G402" s="333">
        <f>'ERR &amp; Sensitivity Analysis'!$D$13</f>
        <v>84</v>
      </c>
      <c r="H402" s="332">
        <f>'ERR &amp; Sensitivity Analysis'!$D$14</f>
        <v>0.1</v>
      </c>
      <c r="I402" s="273">
        <f t="shared" si="37"/>
        <v>21.751596440000004</v>
      </c>
      <c r="J402" s="272">
        <f t="shared" si="38"/>
        <v>86.76732520165388</v>
      </c>
      <c r="K402" s="272">
        <f t="shared" si="39"/>
        <v>32.757107789177375</v>
      </c>
      <c r="L402" s="272">
        <f t="shared" si="40"/>
        <v>21.751596440000004</v>
      </c>
      <c r="M402" s="274">
        <f t="shared" si="41"/>
        <v>32.25862097247649</v>
      </c>
    </row>
    <row r="403" spans="2:13" ht="12.75">
      <c r="B403" s="271">
        <v>5.04</v>
      </c>
      <c r="C403" s="272">
        <v>4.563492</v>
      </c>
      <c r="D403" s="272">
        <v>4.563492</v>
      </c>
      <c r="E403" s="273">
        <f t="shared" si="35"/>
        <v>15.413955698103376</v>
      </c>
      <c r="F403" s="273">
        <f t="shared" si="36"/>
        <v>-0.7363651796340854</v>
      </c>
      <c r="G403" s="333">
        <f>'ERR &amp; Sensitivity Analysis'!$D$13</f>
        <v>84</v>
      </c>
      <c r="H403" s="332">
        <f>'ERR &amp; Sensitivity Analysis'!$D$14</f>
        <v>0.1</v>
      </c>
      <c r="I403" s="273">
        <f t="shared" si="37"/>
        <v>22.495999680000004</v>
      </c>
      <c r="J403" s="272">
        <f t="shared" si="38"/>
        <v>87.24188879176478</v>
      </c>
      <c r="K403" s="272">
        <f t="shared" si="39"/>
        <v>31.862255480293296</v>
      </c>
      <c r="L403" s="272">
        <f t="shared" si="40"/>
        <v>22.495999680000004</v>
      </c>
      <c r="M403" s="274">
        <f t="shared" si="41"/>
        <v>32.883633631471476</v>
      </c>
    </row>
    <row r="404" spans="2:13" ht="12.75">
      <c r="B404" s="271">
        <v>6.384</v>
      </c>
      <c r="C404" s="272">
        <v>4.620927</v>
      </c>
      <c r="D404" s="272">
        <v>4.620927</v>
      </c>
      <c r="E404" s="273">
        <f aca="true" t="shared" si="42" ref="E404:E467">B404/(D404^F404)</f>
        <v>17.86429478484353</v>
      </c>
      <c r="F404" s="273">
        <f aca="true" t="shared" si="43" ref="F404:F467">LN(B404/G404)/LN(D404/H404)</f>
        <v>-0.6722934094974585</v>
      </c>
      <c r="G404" s="333">
        <f>'ERR &amp; Sensitivity Analysis'!$D$13</f>
        <v>84</v>
      </c>
      <c r="H404" s="332">
        <f>'ERR &amp; Sensitivity Analysis'!$D$14</f>
        <v>0.1</v>
      </c>
      <c r="I404" s="273">
        <f aca="true" t="shared" si="44" ref="I404:I467">IF((D404-H404)*B404&gt;0,(D404-H404)*B404,0)</f>
        <v>28.861597968000005</v>
      </c>
      <c r="J404" s="272">
        <f aca="true" t="shared" si="45" ref="J404:J467">(E404*(D404^(F404+1)))/(F404+1)</f>
        <v>90.01954438194682</v>
      </c>
      <c r="K404" s="272">
        <f aca="true" t="shared" si="46" ref="K404:K467">(E404*(H404^(F404+1)))/(F404+1)</f>
        <v>25.632685589626117</v>
      </c>
      <c r="L404" s="272">
        <f aca="true" t="shared" si="47" ref="L404:L467">(D404-H404)*B404</f>
        <v>28.861597968000005</v>
      </c>
      <c r="M404" s="274">
        <f aca="true" t="shared" si="48" ref="M404:M467">J404-K404-L404</f>
        <v>35.52526082432069</v>
      </c>
    </row>
    <row r="405" spans="2:13" ht="12.75">
      <c r="B405" s="271">
        <v>5.04</v>
      </c>
      <c r="C405" s="272">
        <v>4.662698</v>
      </c>
      <c r="D405" s="272">
        <v>4.662698</v>
      </c>
      <c r="E405" s="273">
        <f t="shared" si="42"/>
        <v>15.560939735522172</v>
      </c>
      <c r="F405" s="273">
        <f t="shared" si="43"/>
        <v>-0.7322434652830122</v>
      </c>
      <c r="G405" s="333">
        <f>'ERR &amp; Sensitivity Analysis'!$D$13</f>
        <v>84</v>
      </c>
      <c r="H405" s="332">
        <f>'ERR &amp; Sensitivity Analysis'!$D$14</f>
        <v>0.1</v>
      </c>
      <c r="I405" s="273">
        <f t="shared" si="44"/>
        <v>22.99599792</v>
      </c>
      <c r="J405" s="272">
        <f t="shared" si="45"/>
        <v>87.7662909136426</v>
      </c>
      <c r="K405" s="272">
        <f t="shared" si="46"/>
        <v>31.371783358634357</v>
      </c>
      <c r="L405" s="272">
        <f t="shared" si="47"/>
        <v>22.99599792</v>
      </c>
      <c r="M405" s="274">
        <f t="shared" si="48"/>
        <v>33.398509635008246</v>
      </c>
    </row>
    <row r="406" spans="2:13" ht="12.75">
      <c r="B406" s="271">
        <v>1.68</v>
      </c>
      <c r="C406" s="272">
        <v>4.761905</v>
      </c>
      <c r="D406" s="272">
        <v>4.761905</v>
      </c>
      <c r="E406" s="273">
        <f t="shared" si="42"/>
        <v>8.159244316928863</v>
      </c>
      <c r="F406" s="273">
        <f t="shared" si="43"/>
        <v>-1.0126293484091602</v>
      </c>
      <c r="G406" s="333">
        <f>'ERR &amp; Sensitivity Analysis'!$D$13</f>
        <v>84</v>
      </c>
      <c r="H406" s="332">
        <f>'ERR &amp; Sensitivity Analysis'!$D$14</f>
        <v>0.1</v>
      </c>
      <c r="I406" s="273">
        <f t="shared" si="44"/>
        <v>7.8320004</v>
      </c>
      <c r="J406" s="272">
        <f t="shared" si="45"/>
        <v>-633.4452214650693</v>
      </c>
      <c r="K406" s="272">
        <f t="shared" si="46"/>
        <v>-665.1174492824506</v>
      </c>
      <c r="L406" s="272">
        <f t="shared" si="47"/>
        <v>7.8320004</v>
      </c>
      <c r="M406" s="274">
        <f t="shared" si="48"/>
        <v>23.840227417381328</v>
      </c>
    </row>
    <row r="407" spans="2:13" ht="12.75">
      <c r="B407" s="271">
        <v>7.392</v>
      </c>
      <c r="C407" s="272">
        <v>4.87013</v>
      </c>
      <c r="D407" s="272">
        <v>4.87013</v>
      </c>
      <c r="E407" s="273">
        <f t="shared" si="42"/>
        <v>19.8976857540626</v>
      </c>
      <c r="F407" s="273">
        <f t="shared" si="43"/>
        <v>-0.6254767183298766</v>
      </c>
      <c r="G407" s="333">
        <f>'ERR &amp; Sensitivity Analysis'!$D$13</f>
        <v>84</v>
      </c>
      <c r="H407" s="332">
        <f>'ERR &amp; Sensitivity Analysis'!$D$14</f>
        <v>0.1</v>
      </c>
      <c r="I407" s="273">
        <f t="shared" si="44"/>
        <v>35.260800960000005</v>
      </c>
      <c r="J407" s="272">
        <f t="shared" si="45"/>
        <v>96.12219779626</v>
      </c>
      <c r="K407" s="272">
        <f t="shared" si="46"/>
        <v>22.42851222103367</v>
      </c>
      <c r="L407" s="272">
        <f t="shared" si="47"/>
        <v>35.260800960000005</v>
      </c>
      <c r="M407" s="274">
        <f t="shared" si="48"/>
        <v>38.43288461522632</v>
      </c>
    </row>
    <row r="408" spans="2:13" ht="12.75">
      <c r="B408" s="271">
        <v>1.232</v>
      </c>
      <c r="C408" s="272">
        <v>4.87013</v>
      </c>
      <c r="D408" s="272">
        <v>4.87013</v>
      </c>
      <c r="E408" s="273">
        <f t="shared" si="42"/>
        <v>6.881561292716582</v>
      </c>
      <c r="F408" s="273">
        <f t="shared" si="43"/>
        <v>-1.086592303656863</v>
      </c>
      <c r="G408" s="333">
        <f>'ERR &amp; Sensitivity Analysis'!$D$13</f>
        <v>84</v>
      </c>
      <c r="H408" s="332">
        <f>'ERR &amp; Sensitivity Analysis'!$D$14</f>
        <v>0.1</v>
      </c>
      <c r="I408" s="273">
        <f t="shared" si="44"/>
        <v>5.87680016</v>
      </c>
      <c r="J408" s="272">
        <f t="shared" si="45"/>
        <v>-69.29022449588636</v>
      </c>
      <c r="K408" s="272">
        <f t="shared" si="46"/>
        <v>-97.00631170740593</v>
      </c>
      <c r="L408" s="272">
        <f t="shared" si="47"/>
        <v>5.87680016</v>
      </c>
      <c r="M408" s="274">
        <f t="shared" si="48"/>
        <v>21.839287051519563</v>
      </c>
    </row>
    <row r="409" spans="2:13" ht="12.75">
      <c r="B409" s="271">
        <v>4.2</v>
      </c>
      <c r="C409" s="272">
        <v>4.880953</v>
      </c>
      <c r="D409" s="272">
        <v>4.880953</v>
      </c>
      <c r="E409" s="273">
        <f t="shared" si="42"/>
        <v>14.248110206997387</v>
      </c>
      <c r="F409" s="273">
        <f t="shared" si="43"/>
        <v>-0.770522020390964</v>
      </c>
      <c r="G409" s="333">
        <f>'ERR &amp; Sensitivity Analysis'!$D$13</f>
        <v>84</v>
      </c>
      <c r="H409" s="332">
        <f>'ERR &amp; Sensitivity Analysis'!$D$14</f>
        <v>0.1</v>
      </c>
      <c r="I409" s="273">
        <f t="shared" si="44"/>
        <v>20.0800026</v>
      </c>
      <c r="J409" s="272">
        <f t="shared" si="45"/>
        <v>89.33320153387294</v>
      </c>
      <c r="K409" s="272">
        <f t="shared" si="46"/>
        <v>36.604819400585455</v>
      </c>
      <c r="L409" s="272">
        <f t="shared" si="47"/>
        <v>20.0800026</v>
      </c>
      <c r="M409" s="274">
        <f t="shared" si="48"/>
        <v>32.64837953328748</v>
      </c>
    </row>
    <row r="410" spans="2:13" ht="12.75">
      <c r="B410" s="271">
        <v>8.4</v>
      </c>
      <c r="C410" s="272">
        <v>5.059524</v>
      </c>
      <c r="D410" s="272">
        <v>5.059524</v>
      </c>
      <c r="E410" s="273">
        <f t="shared" si="42"/>
        <v>21.750166724318472</v>
      </c>
      <c r="F410" s="273">
        <f t="shared" si="43"/>
        <v>-0.5868166957057545</v>
      </c>
      <c r="G410" s="333">
        <f>'ERR &amp; Sensitivity Analysis'!$D$13</f>
        <v>84</v>
      </c>
      <c r="H410" s="332">
        <f>'ERR &amp; Sensitivity Analysis'!$D$14</f>
        <v>0.1</v>
      </c>
      <c r="I410" s="273">
        <f t="shared" si="44"/>
        <v>41.6600016</v>
      </c>
      <c r="J410" s="272">
        <f t="shared" si="45"/>
        <v>102.85991993939311</v>
      </c>
      <c r="K410" s="272">
        <f t="shared" si="46"/>
        <v>20.329959881481557</v>
      </c>
      <c r="L410" s="272">
        <f t="shared" si="47"/>
        <v>41.6600016</v>
      </c>
      <c r="M410" s="274">
        <f t="shared" si="48"/>
        <v>40.86995845791155</v>
      </c>
    </row>
    <row r="411" spans="2:13" ht="12.75">
      <c r="B411" s="271">
        <v>4.48</v>
      </c>
      <c r="C411" s="272">
        <v>5.133929</v>
      </c>
      <c r="D411" s="272">
        <v>5.133929</v>
      </c>
      <c r="E411" s="273">
        <f t="shared" si="42"/>
        <v>15.136654257411628</v>
      </c>
      <c r="F411" s="273">
        <f t="shared" si="43"/>
        <v>-0.7442493949215285</v>
      </c>
      <c r="G411" s="333">
        <f>'ERR &amp; Sensitivity Analysis'!$D$13</f>
        <v>84</v>
      </c>
      <c r="H411" s="332">
        <f>'ERR &amp; Sensitivity Analysis'!$D$14</f>
        <v>0.1</v>
      </c>
      <c r="I411" s="273">
        <f t="shared" si="44"/>
        <v>22.552001920000006</v>
      </c>
      <c r="J411" s="272">
        <f t="shared" si="45"/>
        <v>89.93136854140756</v>
      </c>
      <c r="K411" s="272">
        <f t="shared" si="46"/>
        <v>32.84449707332127</v>
      </c>
      <c r="L411" s="272">
        <f t="shared" si="47"/>
        <v>22.552001920000006</v>
      </c>
      <c r="M411" s="274">
        <f t="shared" si="48"/>
        <v>34.53486954808629</v>
      </c>
    </row>
    <row r="412" spans="2:13" ht="12.75">
      <c r="B412" s="271">
        <v>4.48</v>
      </c>
      <c r="C412" s="272">
        <v>5.245536</v>
      </c>
      <c r="D412" s="272">
        <v>5.245536</v>
      </c>
      <c r="E412" s="273">
        <f t="shared" si="42"/>
        <v>15.27818759076278</v>
      </c>
      <c r="F412" s="273">
        <f t="shared" si="43"/>
        <v>-0.7402074479227163</v>
      </c>
      <c r="G412" s="333">
        <f>'ERR &amp; Sensitivity Analysis'!$D$13</f>
        <v>84</v>
      </c>
      <c r="H412" s="332">
        <f>'ERR &amp; Sensitivity Analysis'!$D$14</f>
        <v>0.1</v>
      </c>
      <c r="I412" s="273">
        <f t="shared" si="44"/>
        <v>23.052001280000006</v>
      </c>
      <c r="J412" s="272">
        <f t="shared" si="45"/>
        <v>90.45679366900853</v>
      </c>
      <c r="K412" s="272">
        <f t="shared" si="46"/>
        <v>32.3334904439491</v>
      </c>
      <c r="L412" s="272">
        <f t="shared" si="47"/>
        <v>23.052001280000006</v>
      </c>
      <c r="M412" s="274">
        <f t="shared" si="48"/>
        <v>35.071301945059425</v>
      </c>
    </row>
    <row r="413" spans="2:13" ht="12.75">
      <c r="B413" s="271">
        <v>6.72</v>
      </c>
      <c r="C413" s="272">
        <v>5.319941</v>
      </c>
      <c r="D413" s="272">
        <v>5.319941</v>
      </c>
      <c r="E413" s="273">
        <f t="shared" si="42"/>
        <v>19.44122063262366</v>
      </c>
      <c r="F413" s="273">
        <f t="shared" si="43"/>
        <v>-0.6355557570883582</v>
      </c>
      <c r="G413" s="333">
        <f>'ERR &amp; Sensitivity Analysis'!$D$13</f>
        <v>84</v>
      </c>
      <c r="H413" s="332">
        <f>'ERR &amp; Sensitivity Analysis'!$D$14</f>
        <v>0.1</v>
      </c>
      <c r="I413" s="273">
        <f t="shared" si="44"/>
        <v>35.07800352</v>
      </c>
      <c r="J413" s="272">
        <f t="shared" si="45"/>
        <v>98.09457609861998</v>
      </c>
      <c r="K413" s="272">
        <f t="shared" si="46"/>
        <v>23.04879323347289</v>
      </c>
      <c r="L413" s="272">
        <f t="shared" si="47"/>
        <v>35.07800352</v>
      </c>
      <c r="M413" s="274">
        <f t="shared" si="48"/>
        <v>39.967779345147086</v>
      </c>
    </row>
    <row r="414" spans="2:13" ht="12.75">
      <c r="B414" s="271">
        <v>6.72</v>
      </c>
      <c r="C414" s="272">
        <v>5.357143</v>
      </c>
      <c r="D414" s="272">
        <v>5.357143</v>
      </c>
      <c r="E414" s="273">
        <f t="shared" si="42"/>
        <v>19.49108619480329</v>
      </c>
      <c r="F414" s="273">
        <f t="shared" si="43"/>
        <v>-0.6344432440060914</v>
      </c>
      <c r="G414" s="333">
        <f>'ERR &amp; Sensitivity Analysis'!$D$13</f>
        <v>84</v>
      </c>
      <c r="H414" s="332">
        <f>'ERR &amp; Sensitivity Analysis'!$D$14</f>
        <v>0.1</v>
      </c>
      <c r="I414" s="273">
        <f t="shared" si="44"/>
        <v>35.32800096</v>
      </c>
      <c r="J414" s="272">
        <f t="shared" si="45"/>
        <v>98.47992239158584</v>
      </c>
      <c r="K414" s="272">
        <f t="shared" si="46"/>
        <v>22.97864794527276</v>
      </c>
      <c r="L414" s="272">
        <f t="shared" si="47"/>
        <v>35.32800096</v>
      </c>
      <c r="M414" s="274">
        <f t="shared" si="48"/>
        <v>40.17327348631309</v>
      </c>
    </row>
    <row r="415" spans="2:13" ht="12.75">
      <c r="B415" s="271">
        <v>4.48</v>
      </c>
      <c r="C415" s="272">
        <v>5.46875</v>
      </c>
      <c r="D415" s="272">
        <v>5.46875</v>
      </c>
      <c r="E415" s="273">
        <f t="shared" si="42"/>
        <v>15.551786553389318</v>
      </c>
      <c r="F415" s="273">
        <f t="shared" si="43"/>
        <v>-0.7324989990841921</v>
      </c>
      <c r="G415" s="333">
        <f>'ERR &amp; Sensitivity Analysis'!$D$13</f>
        <v>84</v>
      </c>
      <c r="H415" s="332">
        <f>'ERR &amp; Sensitivity Analysis'!$D$14</f>
        <v>0.1</v>
      </c>
      <c r="I415" s="273">
        <f t="shared" si="44"/>
        <v>24.052000000000003</v>
      </c>
      <c r="J415" s="272">
        <f t="shared" si="45"/>
        <v>91.5884423464682</v>
      </c>
      <c r="K415" s="272">
        <f t="shared" si="46"/>
        <v>31.401751661646234</v>
      </c>
      <c r="L415" s="272">
        <f t="shared" si="47"/>
        <v>24.052000000000003</v>
      </c>
      <c r="M415" s="274">
        <f t="shared" si="48"/>
        <v>36.13469068482196</v>
      </c>
    </row>
    <row r="416" spans="2:13" ht="12.75">
      <c r="B416" s="271">
        <v>8.4</v>
      </c>
      <c r="C416" s="272">
        <v>5.565476</v>
      </c>
      <c r="D416" s="272">
        <v>5.565476</v>
      </c>
      <c r="E416" s="273">
        <f t="shared" si="42"/>
        <v>22.458373401091432</v>
      </c>
      <c r="F416" s="273">
        <f t="shared" si="43"/>
        <v>-0.5729009877656407</v>
      </c>
      <c r="G416" s="333">
        <f>'ERR &amp; Sensitivity Analysis'!$D$13</f>
        <v>84</v>
      </c>
      <c r="H416" s="332">
        <f>'ERR &amp; Sensitivity Analysis'!$D$14</f>
        <v>0.1</v>
      </c>
      <c r="I416" s="273">
        <f t="shared" si="44"/>
        <v>45.909998400000006</v>
      </c>
      <c r="J416" s="272">
        <f t="shared" si="45"/>
        <v>109.45939246131333</v>
      </c>
      <c r="K416" s="272">
        <f t="shared" si="46"/>
        <v>19.66757065546834</v>
      </c>
      <c r="L416" s="272">
        <f t="shared" si="47"/>
        <v>45.909998400000006</v>
      </c>
      <c r="M416" s="274">
        <f t="shared" si="48"/>
        <v>43.88182340584498</v>
      </c>
    </row>
    <row r="417" spans="2:13" ht="12.75">
      <c r="B417" s="271">
        <v>4.76</v>
      </c>
      <c r="C417" s="272">
        <v>5.584034</v>
      </c>
      <c r="D417" s="272">
        <v>5.584034</v>
      </c>
      <c r="E417" s="273">
        <f t="shared" si="42"/>
        <v>16.242412994476986</v>
      </c>
      <c r="F417" s="273">
        <f t="shared" si="43"/>
        <v>-0.7136287369978628</v>
      </c>
      <c r="G417" s="333">
        <f>'ERR &amp; Sensitivity Analysis'!$D$13</f>
        <v>84</v>
      </c>
      <c r="H417" s="332">
        <f>'ERR &amp; Sensitivity Analysis'!$D$14</f>
        <v>0.1</v>
      </c>
      <c r="I417" s="273">
        <f t="shared" si="44"/>
        <v>26.10400184</v>
      </c>
      <c r="J417" s="272">
        <f t="shared" si="45"/>
        <v>92.81658208771329</v>
      </c>
      <c r="K417" s="272">
        <f t="shared" si="46"/>
        <v>29.33255212809992</v>
      </c>
      <c r="L417" s="272">
        <f t="shared" si="47"/>
        <v>26.10400184</v>
      </c>
      <c r="M417" s="274">
        <f t="shared" si="48"/>
        <v>37.38002811961337</v>
      </c>
    </row>
    <row r="418" spans="2:13" ht="12.75">
      <c r="B418" s="271">
        <v>4.592</v>
      </c>
      <c r="C418" s="272">
        <v>5.662021</v>
      </c>
      <c r="D418" s="272">
        <v>5.662021</v>
      </c>
      <c r="E418" s="273">
        <f t="shared" si="42"/>
        <v>16.002970124997503</v>
      </c>
      <c r="F418" s="273">
        <f t="shared" si="43"/>
        <v>-0.7200786915817641</v>
      </c>
      <c r="G418" s="333">
        <f>'ERR &amp; Sensitivity Analysis'!$D$13</f>
        <v>84</v>
      </c>
      <c r="H418" s="332">
        <f>'ERR &amp; Sensitivity Analysis'!$D$14</f>
        <v>0.1</v>
      </c>
      <c r="I418" s="273">
        <f t="shared" si="44"/>
        <v>25.540800432</v>
      </c>
      <c r="J418" s="272">
        <f t="shared" si="45"/>
        <v>92.88324843478112</v>
      </c>
      <c r="K418" s="272">
        <f t="shared" si="46"/>
        <v>30.008433611096862</v>
      </c>
      <c r="L418" s="272">
        <f t="shared" si="47"/>
        <v>25.540800432</v>
      </c>
      <c r="M418" s="274">
        <f t="shared" si="48"/>
        <v>37.33401439168426</v>
      </c>
    </row>
    <row r="419" spans="2:13" ht="12.75">
      <c r="B419" s="271">
        <v>13.44</v>
      </c>
      <c r="C419" s="272">
        <v>5.766369</v>
      </c>
      <c r="D419" s="272">
        <v>5.766369</v>
      </c>
      <c r="E419" s="273">
        <f t="shared" si="42"/>
        <v>29.66924379947934</v>
      </c>
      <c r="F419" s="273">
        <f t="shared" si="43"/>
        <v>-0.4519728087675728</v>
      </c>
      <c r="G419" s="333">
        <f>'ERR &amp; Sensitivity Analysis'!$D$13</f>
        <v>84</v>
      </c>
      <c r="H419" s="332">
        <f>'ERR &amp; Sensitivity Analysis'!$D$14</f>
        <v>0.1</v>
      </c>
      <c r="I419" s="273">
        <f t="shared" si="44"/>
        <v>76.15599936000001</v>
      </c>
      <c r="J419" s="272">
        <f t="shared" si="45"/>
        <v>141.4163395537266</v>
      </c>
      <c r="K419" s="272">
        <f t="shared" si="46"/>
        <v>15.327706607239175</v>
      </c>
      <c r="L419" s="272">
        <f t="shared" si="47"/>
        <v>76.15599936000001</v>
      </c>
      <c r="M419" s="274">
        <f t="shared" si="48"/>
        <v>49.93263358648741</v>
      </c>
    </row>
    <row r="420" spans="2:13" ht="12.75">
      <c r="B420" s="271">
        <v>10.64</v>
      </c>
      <c r="C420" s="272">
        <v>5.827067</v>
      </c>
      <c r="D420" s="272">
        <v>5.827067</v>
      </c>
      <c r="E420" s="273">
        <f t="shared" si="42"/>
        <v>26.06167191881897</v>
      </c>
      <c r="F420" s="273">
        <f t="shared" si="43"/>
        <v>-0.5082770127579913</v>
      </c>
      <c r="G420" s="333">
        <f>'ERR &amp; Sensitivity Analysis'!$D$13</f>
        <v>84</v>
      </c>
      <c r="H420" s="332">
        <f>'ERR &amp; Sensitivity Analysis'!$D$14</f>
        <v>0.1</v>
      </c>
      <c r="I420" s="273">
        <f t="shared" si="44"/>
        <v>60.935992880000015</v>
      </c>
      <c r="J420" s="272">
        <f t="shared" si="45"/>
        <v>126.08723710019642</v>
      </c>
      <c r="K420" s="272">
        <f t="shared" si="46"/>
        <v>17.082788923727534</v>
      </c>
      <c r="L420" s="272">
        <f t="shared" si="47"/>
        <v>60.935992880000015</v>
      </c>
      <c r="M420" s="274">
        <f t="shared" si="48"/>
        <v>48.06845529646887</v>
      </c>
    </row>
    <row r="421" spans="2:13" ht="12.75">
      <c r="B421" s="271">
        <v>3.36</v>
      </c>
      <c r="C421" s="272">
        <v>5.877976</v>
      </c>
      <c r="D421" s="272">
        <v>5.877976</v>
      </c>
      <c r="E421" s="273">
        <f t="shared" si="42"/>
        <v>13.618772305277068</v>
      </c>
      <c r="F421" s="273">
        <f t="shared" si="43"/>
        <v>-0.7901413271690585</v>
      </c>
      <c r="G421" s="333">
        <f>'ERR &amp; Sensitivity Analysis'!$D$13</f>
        <v>84</v>
      </c>
      <c r="H421" s="332">
        <f>'ERR &amp; Sensitivity Analysis'!$D$14</f>
        <v>0.1</v>
      </c>
      <c r="I421" s="273">
        <f t="shared" si="44"/>
        <v>19.413999360000002</v>
      </c>
      <c r="J421" s="272">
        <f t="shared" si="45"/>
        <v>94.11095140161423</v>
      </c>
      <c r="K421" s="272">
        <f t="shared" si="46"/>
        <v>40.02693758940757</v>
      </c>
      <c r="L421" s="272">
        <f t="shared" si="47"/>
        <v>19.413999360000002</v>
      </c>
      <c r="M421" s="274">
        <f t="shared" si="48"/>
        <v>34.67001445220666</v>
      </c>
    </row>
    <row r="422" spans="2:13" ht="12.75">
      <c r="B422" s="271">
        <v>1.68</v>
      </c>
      <c r="C422" s="272">
        <v>5.952381</v>
      </c>
      <c r="D422" s="272">
        <v>5.952381</v>
      </c>
      <c r="E422" s="273">
        <f t="shared" si="42"/>
        <v>9.267151853465649</v>
      </c>
      <c r="F422" s="273">
        <f t="shared" si="43"/>
        <v>-0.9573330065433197</v>
      </c>
      <c r="G422" s="333">
        <f>'ERR &amp; Sensitivity Analysis'!$D$13</f>
        <v>84</v>
      </c>
      <c r="H422" s="332">
        <f>'ERR &amp; Sensitivity Analysis'!$D$14</f>
        <v>0.1</v>
      </c>
      <c r="I422" s="273">
        <f t="shared" si="44"/>
        <v>9.83200008</v>
      </c>
      <c r="J422" s="272">
        <f t="shared" si="45"/>
        <v>234.3732067775754</v>
      </c>
      <c r="K422" s="272">
        <f t="shared" si="46"/>
        <v>196.87349211817536</v>
      </c>
      <c r="L422" s="272">
        <f t="shared" si="47"/>
        <v>9.83200008</v>
      </c>
      <c r="M422" s="274">
        <f t="shared" si="48"/>
        <v>27.66771457940004</v>
      </c>
    </row>
    <row r="423" spans="2:13" ht="12.75">
      <c r="B423" s="271">
        <v>3.36</v>
      </c>
      <c r="C423" s="272">
        <v>5.952381</v>
      </c>
      <c r="D423" s="272">
        <v>5.952381</v>
      </c>
      <c r="E423" s="273">
        <f t="shared" si="42"/>
        <v>13.695257387487743</v>
      </c>
      <c r="F423" s="273">
        <f t="shared" si="43"/>
        <v>-0.7877090873021152</v>
      </c>
      <c r="G423" s="333">
        <f>'ERR &amp; Sensitivity Analysis'!$D$13</f>
        <v>84</v>
      </c>
      <c r="H423" s="332">
        <f>'ERR &amp; Sensitivity Analysis'!$D$14</f>
        <v>0.1</v>
      </c>
      <c r="I423" s="273">
        <f t="shared" si="44"/>
        <v>19.66400016</v>
      </c>
      <c r="J423" s="272">
        <f t="shared" si="45"/>
        <v>94.21034516188818</v>
      </c>
      <c r="K423" s="272">
        <f t="shared" si="46"/>
        <v>39.56834465144627</v>
      </c>
      <c r="L423" s="272">
        <f t="shared" si="47"/>
        <v>19.66400016</v>
      </c>
      <c r="M423" s="274">
        <f t="shared" si="48"/>
        <v>34.97800035044192</v>
      </c>
    </row>
    <row r="424" spans="2:13" ht="12.75">
      <c r="B424" s="271">
        <v>3.36</v>
      </c>
      <c r="C424" s="272">
        <v>5.952381</v>
      </c>
      <c r="D424" s="272">
        <v>5.952381</v>
      </c>
      <c r="E424" s="273">
        <f t="shared" si="42"/>
        <v>13.695257387487743</v>
      </c>
      <c r="F424" s="273">
        <f t="shared" si="43"/>
        <v>-0.7877090873021152</v>
      </c>
      <c r="G424" s="333">
        <f>'ERR &amp; Sensitivity Analysis'!$D$13</f>
        <v>84</v>
      </c>
      <c r="H424" s="332">
        <f>'ERR &amp; Sensitivity Analysis'!$D$14</f>
        <v>0.1</v>
      </c>
      <c r="I424" s="273">
        <f t="shared" si="44"/>
        <v>19.66400016</v>
      </c>
      <c r="J424" s="272">
        <f t="shared" si="45"/>
        <v>94.21034516188818</v>
      </c>
      <c r="K424" s="272">
        <f t="shared" si="46"/>
        <v>39.56834465144627</v>
      </c>
      <c r="L424" s="272">
        <f t="shared" si="47"/>
        <v>19.66400016</v>
      </c>
      <c r="M424" s="274">
        <f t="shared" si="48"/>
        <v>34.97800035044192</v>
      </c>
    </row>
    <row r="425" spans="2:13" ht="12.75">
      <c r="B425" s="271">
        <v>6.72</v>
      </c>
      <c r="C425" s="272">
        <v>5.952381</v>
      </c>
      <c r="D425" s="272">
        <v>5.952381</v>
      </c>
      <c r="E425" s="273">
        <f t="shared" si="42"/>
        <v>20.239236161798253</v>
      </c>
      <c r="F425" s="273">
        <f t="shared" si="43"/>
        <v>-0.6180851680609109</v>
      </c>
      <c r="G425" s="333">
        <f>'ERR &amp; Sensitivity Analysis'!$D$13</f>
        <v>84</v>
      </c>
      <c r="H425" s="332">
        <f>'ERR &amp; Sensitivity Analysis'!$D$14</f>
        <v>0.1</v>
      </c>
      <c r="I425" s="273">
        <f t="shared" si="44"/>
        <v>39.32800032</v>
      </c>
      <c r="J425" s="272">
        <f t="shared" si="45"/>
        <v>104.73539379685448</v>
      </c>
      <c r="K425" s="272">
        <f t="shared" si="46"/>
        <v>21.994432521383988</v>
      </c>
      <c r="L425" s="272">
        <f t="shared" si="47"/>
        <v>39.32800032</v>
      </c>
      <c r="M425" s="274">
        <f t="shared" si="48"/>
        <v>43.412960955470496</v>
      </c>
    </row>
    <row r="426" spans="2:13" ht="12.75">
      <c r="B426" s="271">
        <v>0.4956</v>
      </c>
      <c r="C426" s="272">
        <v>6.053268</v>
      </c>
      <c r="D426" s="272">
        <v>6.053268</v>
      </c>
      <c r="E426" s="273">
        <f t="shared" si="42"/>
        <v>4.713542209037333</v>
      </c>
      <c r="F426" s="273">
        <f t="shared" si="43"/>
        <v>-1.250931885587492</v>
      </c>
      <c r="G426" s="333">
        <f>'ERR &amp; Sensitivity Analysis'!$D$13</f>
        <v>84</v>
      </c>
      <c r="H426" s="332">
        <f>'ERR &amp; Sensitivity Analysis'!$D$14</f>
        <v>0.1</v>
      </c>
      <c r="I426" s="273">
        <f t="shared" si="44"/>
        <v>2.9504396208</v>
      </c>
      <c r="J426" s="272">
        <f t="shared" si="45"/>
        <v>-11.955434096293812</v>
      </c>
      <c r="K426" s="272">
        <f t="shared" si="46"/>
        <v>-33.47521970089046</v>
      </c>
      <c r="L426" s="272">
        <f t="shared" si="47"/>
        <v>2.9504396208</v>
      </c>
      <c r="M426" s="274">
        <f t="shared" si="48"/>
        <v>18.569345983796648</v>
      </c>
    </row>
    <row r="427" spans="2:13" ht="12.75">
      <c r="B427" s="271">
        <v>0.4956</v>
      </c>
      <c r="C427" s="272">
        <v>6.053268</v>
      </c>
      <c r="D427" s="272">
        <v>6.053268</v>
      </c>
      <c r="E427" s="273">
        <f t="shared" si="42"/>
        <v>4.713542209037333</v>
      </c>
      <c r="F427" s="273">
        <f t="shared" si="43"/>
        <v>-1.250931885587492</v>
      </c>
      <c r="G427" s="333">
        <f>'ERR &amp; Sensitivity Analysis'!$D$13</f>
        <v>84</v>
      </c>
      <c r="H427" s="332">
        <f>'ERR &amp; Sensitivity Analysis'!$D$14</f>
        <v>0.1</v>
      </c>
      <c r="I427" s="273">
        <f t="shared" si="44"/>
        <v>2.9504396208</v>
      </c>
      <c r="J427" s="272">
        <f t="shared" si="45"/>
        <v>-11.955434096293812</v>
      </c>
      <c r="K427" s="272">
        <f t="shared" si="46"/>
        <v>-33.47521970089046</v>
      </c>
      <c r="L427" s="272">
        <f t="shared" si="47"/>
        <v>2.9504396208</v>
      </c>
      <c r="M427" s="274">
        <f t="shared" si="48"/>
        <v>18.569345983796648</v>
      </c>
    </row>
    <row r="428" spans="2:13" ht="12.75">
      <c r="B428" s="271">
        <v>3.36</v>
      </c>
      <c r="C428" s="272">
        <v>6.071429</v>
      </c>
      <c r="D428" s="272">
        <v>6.071429</v>
      </c>
      <c r="E428" s="273">
        <f t="shared" si="42"/>
        <v>13.81557767248377</v>
      </c>
      <c r="F428" s="273">
        <f t="shared" si="43"/>
        <v>-0.7839102372199968</v>
      </c>
      <c r="G428" s="333">
        <f>'ERR &amp; Sensitivity Analysis'!$D$13</f>
        <v>84</v>
      </c>
      <c r="H428" s="332">
        <f>'ERR &amp; Sensitivity Analysis'!$D$14</f>
        <v>0.1</v>
      </c>
      <c r="I428" s="273">
        <f t="shared" si="44"/>
        <v>20.064001440000002</v>
      </c>
      <c r="J428" s="272">
        <f t="shared" si="45"/>
        <v>94.40521928273317</v>
      </c>
      <c r="K428" s="272">
        <f t="shared" si="46"/>
        <v>38.87273460775593</v>
      </c>
      <c r="L428" s="272">
        <f t="shared" si="47"/>
        <v>20.064001440000002</v>
      </c>
      <c r="M428" s="274">
        <f t="shared" si="48"/>
        <v>35.46848323497724</v>
      </c>
    </row>
    <row r="429" spans="2:13" ht="12.75">
      <c r="B429" s="271">
        <v>3.304</v>
      </c>
      <c r="C429" s="272">
        <v>6.204601</v>
      </c>
      <c r="D429" s="272">
        <v>6.204601</v>
      </c>
      <c r="E429" s="273">
        <f t="shared" si="42"/>
        <v>13.81713041572666</v>
      </c>
      <c r="F429" s="273">
        <f t="shared" si="43"/>
        <v>-0.7838614292768333</v>
      </c>
      <c r="G429" s="333">
        <f>'ERR &amp; Sensitivity Analysis'!$D$13</f>
        <v>84</v>
      </c>
      <c r="H429" s="332">
        <f>'ERR &amp; Sensitivity Analysis'!$D$14</f>
        <v>0.1</v>
      </c>
      <c r="I429" s="273">
        <f t="shared" si="44"/>
        <v>20.169601704</v>
      </c>
      <c r="J429" s="272">
        <f t="shared" si="45"/>
        <v>94.8465682705781</v>
      </c>
      <c r="K429" s="272">
        <f t="shared" si="46"/>
        <v>38.86395645115485</v>
      </c>
      <c r="L429" s="272">
        <f t="shared" si="47"/>
        <v>20.169601704</v>
      </c>
      <c r="M429" s="274">
        <f t="shared" si="48"/>
        <v>35.81301011542325</v>
      </c>
    </row>
    <row r="430" spans="2:13" ht="12.75">
      <c r="B430" s="271">
        <v>3.36</v>
      </c>
      <c r="C430" s="272">
        <v>6.25</v>
      </c>
      <c r="D430" s="272">
        <v>6.25</v>
      </c>
      <c r="E430" s="273">
        <f t="shared" si="42"/>
        <v>13.99149913260298</v>
      </c>
      <c r="F430" s="273">
        <f t="shared" si="43"/>
        <v>-0.7784150361778897</v>
      </c>
      <c r="G430" s="333">
        <f>'ERR &amp; Sensitivity Analysis'!$D$13</f>
        <v>84</v>
      </c>
      <c r="H430" s="332">
        <f>'ERR &amp; Sensitivity Analysis'!$D$14</f>
        <v>0.1</v>
      </c>
      <c r="I430" s="273">
        <f t="shared" si="44"/>
        <v>20.664</v>
      </c>
      <c r="J430" s="272">
        <f t="shared" si="45"/>
        <v>94.77177348937322</v>
      </c>
      <c r="K430" s="272">
        <f t="shared" si="46"/>
        <v>37.90870939574927</v>
      </c>
      <c r="L430" s="272">
        <f t="shared" si="47"/>
        <v>20.664</v>
      </c>
      <c r="M430" s="274">
        <f t="shared" si="48"/>
        <v>36.199064093623946</v>
      </c>
    </row>
    <row r="431" spans="2:13" ht="12.75">
      <c r="B431" s="271">
        <v>3.304</v>
      </c>
      <c r="C431" s="272">
        <v>6.355932</v>
      </c>
      <c r="D431" s="272">
        <v>6.355932</v>
      </c>
      <c r="E431" s="273">
        <f t="shared" si="42"/>
        <v>13.962631352538473</v>
      </c>
      <c r="F431" s="273">
        <f t="shared" si="43"/>
        <v>-0.7793120143221506</v>
      </c>
      <c r="G431" s="333">
        <f>'ERR &amp; Sensitivity Analysis'!$D$13</f>
        <v>84</v>
      </c>
      <c r="H431" s="332">
        <f>'ERR &amp; Sensitivity Analysis'!$D$14</f>
        <v>0.1</v>
      </c>
      <c r="I431" s="273">
        <f t="shared" si="44"/>
        <v>20.669599328</v>
      </c>
      <c r="J431" s="272">
        <f t="shared" si="45"/>
        <v>95.15696680767603</v>
      </c>
      <c r="K431" s="272">
        <f t="shared" si="46"/>
        <v>38.06278794107963</v>
      </c>
      <c r="L431" s="272">
        <f t="shared" si="47"/>
        <v>20.669599328</v>
      </c>
      <c r="M431" s="274">
        <f t="shared" si="48"/>
        <v>36.424579538596404</v>
      </c>
    </row>
    <row r="432" spans="2:13" ht="12.75">
      <c r="B432" s="271">
        <v>3.192</v>
      </c>
      <c r="C432" s="272">
        <v>6.422306</v>
      </c>
      <c r="D432" s="272">
        <v>6.422306</v>
      </c>
      <c r="E432" s="273">
        <f t="shared" si="42"/>
        <v>13.760274190486612</v>
      </c>
      <c r="F432" s="273">
        <f t="shared" si="43"/>
        <v>-0.7856521982213341</v>
      </c>
      <c r="G432" s="333">
        <f>'ERR &amp; Sensitivity Analysis'!$D$13</f>
        <v>84</v>
      </c>
      <c r="H432" s="332">
        <f>'ERR &amp; Sensitivity Analysis'!$D$14</f>
        <v>0.1</v>
      </c>
      <c r="I432" s="273">
        <f t="shared" si="44"/>
        <v>20.180800752000003</v>
      </c>
      <c r="J432" s="272">
        <f t="shared" si="45"/>
        <v>95.63895958759666</v>
      </c>
      <c r="K432" s="272">
        <f t="shared" si="46"/>
        <v>39.188645417851234</v>
      </c>
      <c r="L432" s="272">
        <f t="shared" si="47"/>
        <v>20.180800752000003</v>
      </c>
      <c r="M432" s="274">
        <f t="shared" si="48"/>
        <v>36.26951341774542</v>
      </c>
    </row>
    <row r="433" spans="2:13" ht="12.75">
      <c r="B433" s="271">
        <v>1.4</v>
      </c>
      <c r="C433" s="272">
        <v>6.428572</v>
      </c>
      <c r="D433" s="272">
        <v>6.428572</v>
      </c>
      <c r="E433" s="273">
        <f t="shared" si="42"/>
        <v>8.7267158895369</v>
      </c>
      <c r="F433" s="273">
        <f t="shared" si="43"/>
        <v>-0.9834284489303705</v>
      </c>
      <c r="G433" s="333">
        <f>'ERR &amp; Sensitivity Analysis'!$D$13</f>
        <v>84</v>
      </c>
      <c r="H433" s="332">
        <f>'ERR &amp; Sensitivity Analysis'!$D$14</f>
        <v>0.1</v>
      </c>
      <c r="I433" s="273">
        <f t="shared" si="44"/>
        <v>8.8600008</v>
      </c>
      <c r="J433" s="272">
        <f t="shared" si="45"/>
        <v>543.099481888223</v>
      </c>
      <c r="K433" s="272">
        <f t="shared" si="46"/>
        <v>506.8928047052032</v>
      </c>
      <c r="L433" s="272">
        <f t="shared" si="47"/>
        <v>8.8600008</v>
      </c>
      <c r="M433" s="274">
        <f t="shared" si="48"/>
        <v>27.346676383019734</v>
      </c>
    </row>
    <row r="434" spans="2:13" ht="12.75">
      <c r="B434" s="271">
        <v>1.4</v>
      </c>
      <c r="C434" s="272">
        <v>6.428572</v>
      </c>
      <c r="D434" s="272">
        <v>6.428572</v>
      </c>
      <c r="E434" s="273">
        <f t="shared" si="42"/>
        <v>8.7267158895369</v>
      </c>
      <c r="F434" s="273">
        <f t="shared" si="43"/>
        <v>-0.9834284489303705</v>
      </c>
      <c r="G434" s="333">
        <f>'ERR &amp; Sensitivity Analysis'!$D$13</f>
        <v>84</v>
      </c>
      <c r="H434" s="332">
        <f>'ERR &amp; Sensitivity Analysis'!$D$14</f>
        <v>0.1</v>
      </c>
      <c r="I434" s="273">
        <f t="shared" si="44"/>
        <v>8.8600008</v>
      </c>
      <c r="J434" s="272">
        <f t="shared" si="45"/>
        <v>543.099481888223</v>
      </c>
      <c r="K434" s="272">
        <f t="shared" si="46"/>
        <v>506.8928047052032</v>
      </c>
      <c r="L434" s="272">
        <f t="shared" si="47"/>
        <v>8.8600008</v>
      </c>
      <c r="M434" s="274">
        <f t="shared" si="48"/>
        <v>27.346676383019734</v>
      </c>
    </row>
    <row r="435" spans="2:13" ht="12.75">
      <c r="B435" s="271">
        <v>3.472</v>
      </c>
      <c r="C435" s="272">
        <v>6.480414</v>
      </c>
      <c r="D435" s="272">
        <v>6.480414</v>
      </c>
      <c r="E435" s="273">
        <f t="shared" si="42"/>
        <v>14.47040638408703</v>
      </c>
      <c r="F435" s="273">
        <f t="shared" si="43"/>
        <v>-0.7637985581295582</v>
      </c>
      <c r="G435" s="333">
        <f>'ERR &amp; Sensitivity Analysis'!$D$13</f>
        <v>84</v>
      </c>
      <c r="H435" s="332">
        <f>'ERR &amp; Sensitivity Analysis'!$D$14</f>
        <v>0.1</v>
      </c>
      <c r="I435" s="273">
        <f t="shared" si="44"/>
        <v>22.152797408</v>
      </c>
      <c r="J435" s="272">
        <f t="shared" si="45"/>
        <v>95.2576632463633</v>
      </c>
      <c r="K435" s="272">
        <f t="shared" si="46"/>
        <v>35.56286504215101</v>
      </c>
      <c r="L435" s="272">
        <f t="shared" si="47"/>
        <v>22.152797408</v>
      </c>
      <c r="M435" s="274">
        <f t="shared" si="48"/>
        <v>37.54200079621228</v>
      </c>
    </row>
    <row r="436" spans="2:13" ht="12.75">
      <c r="B436" s="271">
        <v>8.96</v>
      </c>
      <c r="C436" s="272">
        <v>6.696429</v>
      </c>
      <c r="D436" s="272">
        <v>6.696429</v>
      </c>
      <c r="E436" s="273">
        <f t="shared" si="42"/>
        <v>24.65688794100489</v>
      </c>
      <c r="F436" s="273">
        <f t="shared" si="43"/>
        <v>-0.5323410246431264</v>
      </c>
      <c r="G436" s="333">
        <f>'ERR &amp; Sensitivity Analysis'!$D$13</f>
        <v>84</v>
      </c>
      <c r="H436" s="332">
        <f>'ERR &amp; Sensitivity Analysis'!$D$14</f>
        <v>0.1</v>
      </c>
      <c r="I436" s="273">
        <f t="shared" si="44"/>
        <v>59.10400384000001</v>
      </c>
      <c r="J436" s="272">
        <f t="shared" si="45"/>
        <v>128.29862571163875</v>
      </c>
      <c r="K436" s="272">
        <f t="shared" si="46"/>
        <v>17.96180645007381</v>
      </c>
      <c r="L436" s="272">
        <f t="shared" si="47"/>
        <v>59.10400384000001</v>
      </c>
      <c r="M436" s="274">
        <f t="shared" si="48"/>
        <v>51.23281542156493</v>
      </c>
    </row>
    <row r="437" spans="2:13" ht="12.75">
      <c r="B437" s="271">
        <v>10.08</v>
      </c>
      <c r="C437" s="272">
        <v>6.944445</v>
      </c>
      <c r="D437" s="272">
        <v>6.944445</v>
      </c>
      <c r="E437" s="273">
        <f t="shared" si="42"/>
        <v>26.5631329223603</v>
      </c>
      <c r="F437" s="273">
        <f t="shared" si="43"/>
        <v>-0.4999999905672109</v>
      </c>
      <c r="G437" s="333">
        <f>'ERR &amp; Sensitivity Analysis'!$D$13</f>
        <v>84</v>
      </c>
      <c r="H437" s="332">
        <f>'ERR &amp; Sensitivity Analysis'!$D$14</f>
        <v>0.1</v>
      </c>
      <c r="I437" s="273">
        <f t="shared" si="44"/>
        <v>68.9920056</v>
      </c>
      <c r="J437" s="272">
        <f t="shared" si="45"/>
        <v>140.00000855881885</v>
      </c>
      <c r="K437" s="272">
        <f t="shared" si="46"/>
        <v>16.799999683058292</v>
      </c>
      <c r="L437" s="272">
        <f t="shared" si="47"/>
        <v>68.9920056</v>
      </c>
      <c r="M437" s="274">
        <f t="shared" si="48"/>
        <v>54.20800327576056</v>
      </c>
    </row>
    <row r="438" spans="2:13" ht="12.75">
      <c r="B438" s="271">
        <v>2.8</v>
      </c>
      <c r="C438" s="272">
        <v>7.142857</v>
      </c>
      <c r="D438" s="272">
        <v>7.142857</v>
      </c>
      <c r="E438" s="273">
        <f t="shared" si="42"/>
        <v>13.412291285014089</v>
      </c>
      <c r="F438" s="273">
        <f t="shared" si="43"/>
        <v>-0.796776309296407</v>
      </c>
      <c r="G438" s="333">
        <f>'ERR &amp; Sensitivity Analysis'!$D$13</f>
        <v>84</v>
      </c>
      <c r="H438" s="332">
        <f>'ERR &amp; Sensitivity Analysis'!$D$14</f>
        <v>0.1</v>
      </c>
      <c r="I438" s="273">
        <f t="shared" si="44"/>
        <v>19.7199996</v>
      </c>
      <c r="J438" s="272">
        <f t="shared" si="45"/>
        <v>98.41372101233274</v>
      </c>
      <c r="K438" s="272">
        <f t="shared" si="46"/>
        <v>41.33376365185504</v>
      </c>
      <c r="L438" s="272">
        <f t="shared" si="47"/>
        <v>19.7199996</v>
      </c>
      <c r="M438" s="274">
        <f t="shared" si="48"/>
        <v>37.359957760477705</v>
      </c>
    </row>
    <row r="439" spans="2:13" ht="12.75">
      <c r="B439" s="271">
        <v>2.8</v>
      </c>
      <c r="C439" s="272">
        <v>7.142857</v>
      </c>
      <c r="D439" s="272">
        <v>7.142857</v>
      </c>
      <c r="E439" s="273">
        <f t="shared" si="42"/>
        <v>13.412291285014089</v>
      </c>
      <c r="F439" s="273">
        <f t="shared" si="43"/>
        <v>-0.796776309296407</v>
      </c>
      <c r="G439" s="333">
        <f>'ERR &amp; Sensitivity Analysis'!$D$13</f>
        <v>84</v>
      </c>
      <c r="H439" s="332">
        <f>'ERR &amp; Sensitivity Analysis'!$D$14</f>
        <v>0.1</v>
      </c>
      <c r="I439" s="273">
        <f t="shared" si="44"/>
        <v>19.7199996</v>
      </c>
      <c r="J439" s="272">
        <f t="shared" si="45"/>
        <v>98.41372101233274</v>
      </c>
      <c r="K439" s="272">
        <f t="shared" si="46"/>
        <v>41.33376365185504</v>
      </c>
      <c r="L439" s="272">
        <f t="shared" si="47"/>
        <v>19.7199996</v>
      </c>
      <c r="M439" s="274">
        <f t="shared" si="48"/>
        <v>37.359957760477705</v>
      </c>
    </row>
    <row r="440" spans="2:13" ht="12.75">
      <c r="B440" s="271">
        <v>3.36</v>
      </c>
      <c r="C440" s="272">
        <v>7.142858</v>
      </c>
      <c r="D440" s="272">
        <v>7.142858</v>
      </c>
      <c r="E440" s="273">
        <f t="shared" si="42"/>
        <v>14.798383657879308</v>
      </c>
      <c r="F440" s="273">
        <f t="shared" si="43"/>
        <v>-0.7540650035587129</v>
      </c>
      <c r="G440" s="333">
        <f>'ERR &amp; Sensitivity Analysis'!$D$13</f>
        <v>84</v>
      </c>
      <c r="H440" s="332">
        <f>'ERR &amp; Sensitivity Analysis'!$D$14</f>
        <v>0.1</v>
      </c>
      <c r="I440" s="273">
        <f t="shared" si="44"/>
        <v>23.66400288</v>
      </c>
      <c r="J440" s="272">
        <f t="shared" si="45"/>
        <v>97.5867738519662</v>
      </c>
      <c r="K440" s="272">
        <f t="shared" si="46"/>
        <v>34.15536674954416</v>
      </c>
      <c r="L440" s="272">
        <f t="shared" si="47"/>
        <v>23.66400288</v>
      </c>
      <c r="M440" s="274">
        <f t="shared" si="48"/>
        <v>39.767404222422044</v>
      </c>
    </row>
    <row r="441" spans="2:13" ht="12.75">
      <c r="B441" s="271">
        <v>9.856</v>
      </c>
      <c r="C441" s="272">
        <v>7.24026</v>
      </c>
      <c r="D441" s="272">
        <v>7.24026</v>
      </c>
      <c r="E441" s="273">
        <f t="shared" si="42"/>
        <v>26.540070990354167</v>
      </c>
      <c r="F441" s="273">
        <f t="shared" si="43"/>
        <v>-0.500377205865121</v>
      </c>
      <c r="G441" s="333">
        <f>'ERR &amp; Sensitivity Analysis'!$D$13</f>
        <v>84</v>
      </c>
      <c r="H441" s="332">
        <f>'ERR &amp; Sensitivity Analysis'!$D$14</f>
        <v>0.1</v>
      </c>
      <c r="I441" s="273">
        <f t="shared" si="44"/>
        <v>70.37440256000001</v>
      </c>
      <c r="J441" s="272">
        <f t="shared" si="45"/>
        <v>142.82775605457172</v>
      </c>
      <c r="K441" s="272">
        <f t="shared" si="46"/>
        <v>16.812683685789413</v>
      </c>
      <c r="L441" s="272">
        <f t="shared" si="47"/>
        <v>70.37440256000001</v>
      </c>
      <c r="M441" s="274">
        <f t="shared" si="48"/>
        <v>55.640669808782306</v>
      </c>
    </row>
    <row r="442" spans="2:13" ht="12.75">
      <c r="B442" s="271">
        <v>1.652</v>
      </c>
      <c r="C442" s="272">
        <v>7.263923</v>
      </c>
      <c r="D442" s="272">
        <v>7.263923</v>
      </c>
      <c r="E442" s="273">
        <f t="shared" si="42"/>
        <v>10.174369759815754</v>
      </c>
      <c r="F442" s="273">
        <f t="shared" si="43"/>
        <v>-0.9167717692271742</v>
      </c>
      <c r="G442" s="333">
        <f>'ERR &amp; Sensitivity Analysis'!$D$13</f>
        <v>84</v>
      </c>
      <c r="H442" s="332">
        <f>'ERR &amp; Sensitivity Analysis'!$D$14</f>
        <v>0.1</v>
      </c>
      <c r="I442" s="273">
        <f t="shared" si="44"/>
        <v>11.834800796</v>
      </c>
      <c r="J442" s="272">
        <f t="shared" si="45"/>
        <v>144.18185613910737</v>
      </c>
      <c r="K442" s="272">
        <f t="shared" si="46"/>
        <v>100.92729260253148</v>
      </c>
      <c r="L442" s="272">
        <f t="shared" si="47"/>
        <v>11.834800796</v>
      </c>
      <c r="M442" s="274">
        <f t="shared" si="48"/>
        <v>31.419762740575887</v>
      </c>
    </row>
    <row r="443" spans="2:13" ht="12.75">
      <c r="B443" s="271">
        <v>4.2</v>
      </c>
      <c r="C443" s="272">
        <v>7.321429</v>
      </c>
      <c r="D443" s="272">
        <v>7.321429</v>
      </c>
      <c r="E443" s="273">
        <f t="shared" si="42"/>
        <v>16.847088919253977</v>
      </c>
      <c r="F443" s="273">
        <f t="shared" si="43"/>
        <v>-0.6977544179777931</v>
      </c>
      <c r="G443" s="333">
        <f>'ERR &amp; Sensitivity Analysis'!$D$13</f>
        <v>84</v>
      </c>
      <c r="H443" s="332">
        <f>'ERR &amp; Sensitivity Analysis'!$D$14</f>
        <v>0.1</v>
      </c>
      <c r="I443" s="273">
        <f t="shared" si="44"/>
        <v>30.330001800000005</v>
      </c>
      <c r="J443" s="272">
        <f t="shared" si="45"/>
        <v>101.73846576768396</v>
      </c>
      <c r="K443" s="272">
        <f t="shared" si="46"/>
        <v>27.79196950969106</v>
      </c>
      <c r="L443" s="272">
        <f t="shared" si="47"/>
        <v>30.330001800000005</v>
      </c>
      <c r="M443" s="274">
        <f t="shared" si="48"/>
        <v>43.6164944579929</v>
      </c>
    </row>
    <row r="444" spans="2:13" ht="12.75">
      <c r="B444" s="271">
        <v>2.52</v>
      </c>
      <c r="C444" s="272">
        <v>7.353175</v>
      </c>
      <c r="D444" s="272">
        <v>7.353175</v>
      </c>
      <c r="E444" s="273">
        <f t="shared" si="42"/>
        <v>12.834163489699241</v>
      </c>
      <c r="F444" s="273">
        <f t="shared" si="43"/>
        <v>-0.8159117187534305</v>
      </c>
      <c r="G444" s="333">
        <f>'ERR &amp; Sensitivity Analysis'!$D$13</f>
        <v>84</v>
      </c>
      <c r="H444" s="332">
        <f>'ERR &amp; Sensitivity Analysis'!$D$14</f>
        <v>0.1</v>
      </c>
      <c r="I444" s="273">
        <f t="shared" si="44"/>
        <v>18.278001000000003</v>
      </c>
      <c r="J444" s="272">
        <f t="shared" si="45"/>
        <v>100.65823242263177</v>
      </c>
      <c r="K444" s="272">
        <f t="shared" si="46"/>
        <v>45.63028098865762</v>
      </c>
      <c r="L444" s="272">
        <f t="shared" si="47"/>
        <v>18.278001000000003</v>
      </c>
      <c r="M444" s="274">
        <f t="shared" si="48"/>
        <v>36.74995043397415</v>
      </c>
    </row>
    <row r="445" spans="2:13" ht="12.75">
      <c r="B445" s="271">
        <v>2.464</v>
      </c>
      <c r="C445" s="272">
        <v>7.508117</v>
      </c>
      <c r="D445" s="272">
        <v>7.508117</v>
      </c>
      <c r="E445" s="273">
        <f t="shared" si="42"/>
        <v>12.796861806354507</v>
      </c>
      <c r="F445" s="273">
        <f t="shared" si="43"/>
        <v>-0.8171758060454783</v>
      </c>
      <c r="G445" s="333">
        <f>'ERR &amp; Sensitivity Analysis'!$D$13</f>
        <v>84</v>
      </c>
      <c r="H445" s="332">
        <f>'ERR &amp; Sensitivity Analysis'!$D$14</f>
        <v>0.1</v>
      </c>
      <c r="I445" s="273">
        <f t="shared" si="44"/>
        <v>18.253600288</v>
      </c>
      <c r="J445" s="272">
        <f t="shared" si="45"/>
        <v>101.19010995121334</v>
      </c>
      <c r="K445" s="272">
        <f t="shared" si="46"/>
        <v>45.94577893825988</v>
      </c>
      <c r="L445" s="272">
        <f t="shared" si="47"/>
        <v>18.253600288</v>
      </c>
      <c r="M445" s="274">
        <f t="shared" si="48"/>
        <v>36.990730724953465</v>
      </c>
    </row>
    <row r="446" spans="2:13" ht="12.75">
      <c r="B446" s="271">
        <v>6.72</v>
      </c>
      <c r="C446" s="272">
        <v>7.8125</v>
      </c>
      <c r="D446" s="272">
        <v>7.8125</v>
      </c>
      <c r="E446" s="273">
        <f t="shared" si="42"/>
        <v>22.11867509664844</v>
      </c>
      <c r="F446" s="273">
        <f t="shared" si="43"/>
        <v>-0.5795201767857944</v>
      </c>
      <c r="G446" s="333">
        <f>'ERR &amp; Sensitivity Analysis'!$D$13</f>
        <v>84</v>
      </c>
      <c r="H446" s="332">
        <f>'ERR &amp; Sensitivity Analysis'!$D$14</f>
        <v>0.1</v>
      </c>
      <c r="I446" s="273">
        <f t="shared" si="44"/>
        <v>51.828</v>
      </c>
      <c r="J446" s="272">
        <f t="shared" si="45"/>
        <v>124.85735843085828</v>
      </c>
      <c r="K446" s="272">
        <f t="shared" si="46"/>
        <v>19.97717734893733</v>
      </c>
      <c r="L446" s="272">
        <f t="shared" si="47"/>
        <v>51.828</v>
      </c>
      <c r="M446" s="274">
        <f t="shared" si="48"/>
        <v>53.05218108192095</v>
      </c>
    </row>
    <row r="447" spans="2:13" ht="12.75">
      <c r="B447" s="271">
        <v>2.8</v>
      </c>
      <c r="C447" s="272">
        <v>8.357143</v>
      </c>
      <c r="D447" s="272">
        <v>8.357143</v>
      </c>
      <c r="E447" s="273">
        <f t="shared" si="42"/>
        <v>14.314262578096377</v>
      </c>
      <c r="F447" s="273">
        <f t="shared" si="43"/>
        <v>-0.7685103064959332</v>
      </c>
      <c r="G447" s="333">
        <f>'ERR &amp; Sensitivity Analysis'!$D$13</f>
        <v>84</v>
      </c>
      <c r="H447" s="332">
        <f>'ERR &amp; Sensitivity Analysis'!$D$14</f>
        <v>0.1</v>
      </c>
      <c r="I447" s="273">
        <f t="shared" si="44"/>
        <v>23.120000400000002</v>
      </c>
      <c r="J447" s="272">
        <f t="shared" si="45"/>
        <v>101.08441566358076</v>
      </c>
      <c r="K447" s="272">
        <f t="shared" si="46"/>
        <v>36.28671269484587</v>
      </c>
      <c r="L447" s="272">
        <f t="shared" si="47"/>
        <v>23.120000400000002</v>
      </c>
      <c r="M447" s="274">
        <f t="shared" si="48"/>
        <v>41.67770256873488</v>
      </c>
    </row>
    <row r="448" spans="2:13" ht="12.75">
      <c r="B448" s="271">
        <v>3.36</v>
      </c>
      <c r="C448" s="272">
        <v>8.779762</v>
      </c>
      <c r="D448" s="272">
        <v>8.779762</v>
      </c>
      <c r="E448" s="273">
        <f t="shared" si="42"/>
        <v>16.031824647755883</v>
      </c>
      <c r="F448" s="273">
        <f t="shared" si="43"/>
        <v>-0.7192963320573952</v>
      </c>
      <c r="G448" s="333">
        <f>'ERR &amp; Sensitivity Analysis'!$D$13</f>
        <v>84</v>
      </c>
      <c r="H448" s="332">
        <f>'ERR &amp; Sensitivity Analysis'!$D$14</f>
        <v>0.1</v>
      </c>
      <c r="I448" s="273">
        <f t="shared" si="44"/>
        <v>29.16400032</v>
      </c>
      <c r="J448" s="272">
        <f t="shared" si="45"/>
        <v>105.09303471599746</v>
      </c>
      <c r="K448" s="272">
        <f t="shared" si="46"/>
        <v>29.9247960013032</v>
      </c>
      <c r="L448" s="272">
        <f t="shared" si="47"/>
        <v>29.16400032</v>
      </c>
      <c r="M448" s="274">
        <f t="shared" si="48"/>
        <v>46.00423839469427</v>
      </c>
    </row>
    <row r="449" spans="2:13" ht="12.75">
      <c r="B449" s="271">
        <v>2.24</v>
      </c>
      <c r="C449" s="272">
        <v>8.928572</v>
      </c>
      <c r="D449" s="272">
        <v>8.928572</v>
      </c>
      <c r="E449" s="273">
        <f t="shared" si="42"/>
        <v>13.104104344724025</v>
      </c>
      <c r="F449" s="273">
        <f t="shared" si="43"/>
        <v>-0.8068719434528159</v>
      </c>
      <c r="G449" s="333">
        <f>'ERR &amp; Sensitivity Analysis'!$D$13</f>
        <v>84</v>
      </c>
      <c r="H449" s="332">
        <f>'ERR &amp; Sensitivity Analysis'!$D$14</f>
        <v>0.1</v>
      </c>
      <c r="I449" s="273">
        <f t="shared" si="44"/>
        <v>19.776001280000006</v>
      </c>
      <c r="J449" s="272">
        <f t="shared" si="45"/>
        <v>103.55823818438155</v>
      </c>
      <c r="K449" s="272">
        <f t="shared" si="46"/>
        <v>43.494457253795005</v>
      </c>
      <c r="L449" s="272">
        <f t="shared" si="47"/>
        <v>19.776001280000006</v>
      </c>
      <c r="M449" s="274">
        <f t="shared" si="48"/>
        <v>40.28777965058654</v>
      </c>
    </row>
    <row r="450" spans="2:13" ht="12.75">
      <c r="B450" s="271">
        <v>4.2</v>
      </c>
      <c r="C450" s="272">
        <v>8.928572</v>
      </c>
      <c r="D450" s="272">
        <v>8.928572</v>
      </c>
      <c r="E450" s="273">
        <f t="shared" si="42"/>
        <v>18.086389244648455</v>
      </c>
      <c r="F450" s="273">
        <f t="shared" si="43"/>
        <v>-0.6669274128253193</v>
      </c>
      <c r="G450" s="333">
        <f>'ERR &amp; Sensitivity Analysis'!$D$13</f>
        <v>84</v>
      </c>
      <c r="H450" s="332">
        <f>'ERR &amp; Sensitivity Analysis'!$D$14</f>
        <v>0.1</v>
      </c>
      <c r="I450" s="273">
        <f t="shared" si="44"/>
        <v>37.080002400000005</v>
      </c>
      <c r="J450" s="272">
        <f t="shared" si="45"/>
        <v>112.58807792648825</v>
      </c>
      <c r="K450" s="272">
        <f t="shared" si="46"/>
        <v>25.219727841470785</v>
      </c>
      <c r="L450" s="272">
        <f t="shared" si="47"/>
        <v>37.080002400000005</v>
      </c>
      <c r="M450" s="274">
        <f t="shared" si="48"/>
        <v>50.28834768501746</v>
      </c>
    </row>
    <row r="451" spans="2:13" ht="12.75">
      <c r="B451" s="271">
        <v>10.08</v>
      </c>
      <c r="C451" s="272">
        <v>8.928572</v>
      </c>
      <c r="D451" s="272">
        <v>8.928572</v>
      </c>
      <c r="E451" s="273">
        <f t="shared" si="42"/>
        <v>28.330473686145645</v>
      </c>
      <c r="F451" s="273">
        <f t="shared" si="43"/>
        <v>-0.47202545006741053</v>
      </c>
      <c r="G451" s="333">
        <f>'ERR &amp; Sensitivity Analysis'!$D$13</f>
        <v>84</v>
      </c>
      <c r="H451" s="332">
        <f>'ERR &amp; Sensitivity Analysis'!$D$14</f>
        <v>0.1</v>
      </c>
      <c r="I451" s="273">
        <f t="shared" si="44"/>
        <v>88.99200576000001</v>
      </c>
      <c r="J451" s="272">
        <f t="shared" si="45"/>
        <v>170.46277282018798</v>
      </c>
      <c r="K451" s="272">
        <f t="shared" si="46"/>
        <v>15.90985777831999</v>
      </c>
      <c r="L451" s="272">
        <f t="shared" si="47"/>
        <v>88.99200576000001</v>
      </c>
      <c r="M451" s="274">
        <f t="shared" si="48"/>
        <v>65.56090928186796</v>
      </c>
    </row>
    <row r="452" spans="2:13" ht="12.75">
      <c r="B452" s="271">
        <v>3.248</v>
      </c>
      <c r="C452" s="272">
        <v>9.390393</v>
      </c>
      <c r="D452" s="272">
        <v>9.390393</v>
      </c>
      <c r="E452" s="273">
        <f t="shared" si="42"/>
        <v>16.149791044048897</v>
      </c>
      <c r="F452" s="273">
        <f t="shared" si="43"/>
        <v>-0.7161123785281097</v>
      </c>
      <c r="G452" s="333">
        <f>'ERR &amp; Sensitivity Analysis'!$D$13</f>
        <v>84</v>
      </c>
      <c r="H452" s="332">
        <f>'ERR &amp; Sensitivity Analysis'!$D$14</f>
        <v>0.1</v>
      </c>
      <c r="I452" s="273">
        <f t="shared" si="44"/>
        <v>30.175196464000003</v>
      </c>
      <c r="J452" s="272">
        <f t="shared" si="45"/>
        <v>107.43686641166217</v>
      </c>
      <c r="K452" s="272">
        <f t="shared" si="46"/>
        <v>29.58917319623864</v>
      </c>
      <c r="L452" s="272">
        <f t="shared" si="47"/>
        <v>30.175196464000003</v>
      </c>
      <c r="M452" s="274">
        <f t="shared" si="48"/>
        <v>47.67249675142353</v>
      </c>
    </row>
    <row r="453" spans="2:13" ht="12.75">
      <c r="B453" s="271">
        <v>10.08</v>
      </c>
      <c r="C453" s="272">
        <v>9.539683</v>
      </c>
      <c r="D453" s="272">
        <v>9.539683</v>
      </c>
      <c r="E453" s="273">
        <f t="shared" si="42"/>
        <v>28.781260927446986</v>
      </c>
      <c r="F453" s="273">
        <f t="shared" si="43"/>
        <v>-0.46516946929533093</v>
      </c>
      <c r="G453" s="333">
        <f>'ERR &amp; Sensitivity Analysis'!$D$13</f>
        <v>84</v>
      </c>
      <c r="H453" s="332">
        <f>'ERR &amp; Sensitivity Analysis'!$D$14</f>
        <v>0.1</v>
      </c>
      <c r="I453" s="273">
        <f t="shared" si="44"/>
        <v>95.15200464</v>
      </c>
      <c r="J453" s="272">
        <f t="shared" si="45"/>
        <v>179.7952792883829</v>
      </c>
      <c r="K453" s="272">
        <f t="shared" si="46"/>
        <v>15.705909662510354</v>
      </c>
      <c r="L453" s="272">
        <f t="shared" si="47"/>
        <v>95.15200464</v>
      </c>
      <c r="M453" s="274">
        <f t="shared" si="48"/>
        <v>68.93736498587253</v>
      </c>
    </row>
    <row r="454" spans="2:13" ht="12.75">
      <c r="B454" s="271">
        <v>2.24</v>
      </c>
      <c r="C454" s="272">
        <v>9.821428</v>
      </c>
      <c r="D454" s="272">
        <v>9.821428</v>
      </c>
      <c r="E454" s="273">
        <f t="shared" si="42"/>
        <v>13.619846562639072</v>
      </c>
      <c r="F454" s="273">
        <f t="shared" si="43"/>
        <v>-0.7901070710970483</v>
      </c>
      <c r="G454" s="333">
        <f>'ERR &amp; Sensitivity Analysis'!$D$13</f>
        <v>84</v>
      </c>
      <c r="H454" s="332">
        <f>'ERR &amp; Sensitivity Analysis'!$D$14</f>
        <v>0.1</v>
      </c>
      <c r="I454" s="273">
        <f t="shared" si="44"/>
        <v>21.77599872</v>
      </c>
      <c r="J454" s="272">
        <f t="shared" si="45"/>
        <v>104.8153400640388</v>
      </c>
      <c r="K454" s="272">
        <f t="shared" si="46"/>
        <v>40.020404898365655</v>
      </c>
      <c r="L454" s="272">
        <f t="shared" si="47"/>
        <v>21.77599872</v>
      </c>
      <c r="M454" s="274">
        <f t="shared" si="48"/>
        <v>43.01893644567315</v>
      </c>
    </row>
    <row r="455" spans="2:13" ht="12.75">
      <c r="B455" s="271">
        <v>2.464</v>
      </c>
      <c r="C455" s="272">
        <v>9.841721</v>
      </c>
      <c r="D455" s="272">
        <v>9.841721</v>
      </c>
      <c r="E455" s="273">
        <f t="shared" si="42"/>
        <v>14.29867748967178</v>
      </c>
      <c r="F455" s="273">
        <f t="shared" si="43"/>
        <v>-0.768983415414913</v>
      </c>
      <c r="G455" s="333">
        <f>'ERR &amp; Sensitivity Analysis'!$D$13</f>
        <v>84</v>
      </c>
      <c r="H455" s="332">
        <f>'ERR &amp; Sensitivity Analysis'!$D$14</f>
        <v>0.1</v>
      </c>
      <c r="I455" s="273">
        <f t="shared" si="44"/>
        <v>24.003600544</v>
      </c>
      <c r="J455" s="272">
        <f t="shared" si="45"/>
        <v>104.97082098046664</v>
      </c>
      <c r="K455" s="272">
        <f t="shared" si="46"/>
        <v>36.361025833217404</v>
      </c>
      <c r="L455" s="272">
        <f t="shared" si="47"/>
        <v>24.003600544</v>
      </c>
      <c r="M455" s="274">
        <f t="shared" si="48"/>
        <v>44.60619460324923</v>
      </c>
    </row>
    <row r="456" spans="2:13" ht="12.75">
      <c r="B456" s="271">
        <v>5.04</v>
      </c>
      <c r="C456" s="272">
        <v>10.01984</v>
      </c>
      <c r="D456" s="272">
        <v>10.01984</v>
      </c>
      <c r="E456" s="273">
        <f t="shared" si="42"/>
        <v>20.58816953863993</v>
      </c>
      <c r="F456" s="273">
        <f t="shared" si="43"/>
        <v>-0.6106615501580926</v>
      </c>
      <c r="G456" s="333">
        <f>'ERR &amp; Sensitivity Analysis'!$D$13</f>
        <v>84</v>
      </c>
      <c r="H456" s="332">
        <f>'ERR &amp; Sensitivity Analysis'!$D$14</f>
        <v>0.1</v>
      </c>
      <c r="I456" s="273">
        <f t="shared" si="44"/>
        <v>49.995993600000006</v>
      </c>
      <c r="J456" s="272">
        <f t="shared" si="45"/>
        <v>129.7071830961102</v>
      </c>
      <c r="K456" s="272">
        <f t="shared" si="46"/>
        <v>21.575058932429766</v>
      </c>
      <c r="L456" s="272">
        <f t="shared" si="47"/>
        <v>49.995993600000006</v>
      </c>
      <c r="M456" s="274">
        <f t="shared" si="48"/>
        <v>58.13613056368044</v>
      </c>
    </row>
    <row r="457" spans="2:13" ht="12.75">
      <c r="B457" s="271">
        <v>6.608</v>
      </c>
      <c r="C457" s="272">
        <v>10.89588</v>
      </c>
      <c r="D457" s="272">
        <v>10.89588</v>
      </c>
      <c r="E457" s="273">
        <f t="shared" si="42"/>
        <v>24.114200425201208</v>
      </c>
      <c r="F457" s="273">
        <f t="shared" si="43"/>
        <v>-0.5420064198321771</v>
      </c>
      <c r="G457" s="333">
        <f>'ERR &amp; Sensitivity Analysis'!$D$13</f>
        <v>84</v>
      </c>
      <c r="H457" s="332">
        <f>'ERR &amp; Sensitivity Analysis'!$D$14</f>
        <v>0.1</v>
      </c>
      <c r="I457" s="273">
        <f t="shared" si="44"/>
        <v>71.33917504</v>
      </c>
      <c r="J457" s="272">
        <f t="shared" si="45"/>
        <v>157.20738926868148</v>
      </c>
      <c r="K457" s="272">
        <f t="shared" si="46"/>
        <v>18.3408684395139</v>
      </c>
      <c r="L457" s="272">
        <f t="shared" si="47"/>
        <v>71.33917504</v>
      </c>
      <c r="M457" s="274">
        <f t="shared" si="48"/>
        <v>67.52734578916757</v>
      </c>
    </row>
    <row r="458" spans="2:13" ht="12.75">
      <c r="B458" s="271">
        <v>2.24</v>
      </c>
      <c r="C458" s="272">
        <v>11.38393</v>
      </c>
      <c r="D458" s="272">
        <v>11.38393</v>
      </c>
      <c r="E458" s="273">
        <f t="shared" si="42"/>
        <v>14.414801657498478</v>
      </c>
      <c r="F458" s="273">
        <f t="shared" si="43"/>
        <v>-0.7654706150328723</v>
      </c>
      <c r="G458" s="333">
        <f>'ERR &amp; Sensitivity Analysis'!$D$13</f>
        <v>84</v>
      </c>
      <c r="H458" s="332">
        <f>'ERR &amp; Sensitivity Analysis'!$D$14</f>
        <v>0.1</v>
      </c>
      <c r="I458" s="273">
        <f t="shared" si="44"/>
        <v>25.2760032</v>
      </c>
      <c r="J458" s="272">
        <f t="shared" si="45"/>
        <v>108.7283932611436</v>
      </c>
      <c r="K458" s="272">
        <f t="shared" si="46"/>
        <v>35.816407403180484</v>
      </c>
      <c r="L458" s="272">
        <f t="shared" si="47"/>
        <v>25.2760032</v>
      </c>
      <c r="M458" s="274">
        <f t="shared" si="48"/>
        <v>47.63598265796311</v>
      </c>
    </row>
    <row r="459" spans="2:13" ht="12.75">
      <c r="B459" s="271">
        <v>1.848</v>
      </c>
      <c r="C459" s="272">
        <v>11.6342</v>
      </c>
      <c r="D459" s="272">
        <v>11.6342</v>
      </c>
      <c r="E459" s="273">
        <f t="shared" si="42"/>
        <v>13.239287188569838</v>
      </c>
      <c r="F459" s="273">
        <f t="shared" si="43"/>
        <v>-0.8024146830129081</v>
      </c>
      <c r="G459" s="333">
        <f>'ERR &amp; Sensitivity Analysis'!$D$13</f>
        <v>84</v>
      </c>
      <c r="H459" s="332">
        <f>'ERR &amp; Sensitivity Analysis'!$D$14</f>
        <v>0.1</v>
      </c>
      <c r="I459" s="273">
        <f t="shared" si="44"/>
        <v>21.3152016</v>
      </c>
      <c r="J459" s="272">
        <f t="shared" si="45"/>
        <v>108.81376170985712</v>
      </c>
      <c r="K459" s="272">
        <f t="shared" si="46"/>
        <v>42.51328048100236</v>
      </c>
      <c r="L459" s="272">
        <f t="shared" si="47"/>
        <v>21.3152016</v>
      </c>
      <c r="M459" s="274">
        <f t="shared" si="48"/>
        <v>44.98527962885475</v>
      </c>
    </row>
    <row r="460" spans="2:13" ht="12.75">
      <c r="B460" s="271">
        <v>3.36</v>
      </c>
      <c r="C460" s="272">
        <v>11.90476</v>
      </c>
      <c r="D460" s="272">
        <v>11.90476</v>
      </c>
      <c r="E460" s="273">
        <f t="shared" si="42"/>
        <v>17.81587486605061</v>
      </c>
      <c r="F460" s="273">
        <f t="shared" si="43"/>
        <v>-0.6734721323937002</v>
      </c>
      <c r="G460" s="333">
        <f>'ERR &amp; Sensitivity Analysis'!$D$13</f>
        <v>84</v>
      </c>
      <c r="H460" s="332">
        <f>'ERR &amp; Sensitivity Analysis'!$D$14</f>
        <v>0.1</v>
      </c>
      <c r="I460" s="273">
        <f t="shared" si="44"/>
        <v>39.6639936</v>
      </c>
      <c r="J460" s="272">
        <f t="shared" si="45"/>
        <v>122.50101007681423</v>
      </c>
      <c r="K460" s="272">
        <f t="shared" si="46"/>
        <v>25.72521623216559</v>
      </c>
      <c r="L460" s="272">
        <f t="shared" si="47"/>
        <v>39.6639936</v>
      </c>
      <c r="M460" s="274">
        <f t="shared" si="48"/>
        <v>57.111800244648634</v>
      </c>
    </row>
    <row r="461" spans="2:13" ht="12.75">
      <c r="B461" s="271">
        <v>1.232</v>
      </c>
      <c r="C461" s="272">
        <v>12.33766</v>
      </c>
      <c r="D461" s="272">
        <v>12.33766</v>
      </c>
      <c r="E461" s="273">
        <f t="shared" si="42"/>
        <v>11.154320163277236</v>
      </c>
      <c r="F461" s="273">
        <f t="shared" si="43"/>
        <v>-0.876836180140777</v>
      </c>
      <c r="G461" s="333">
        <f>'ERR &amp; Sensitivity Analysis'!$D$13</f>
        <v>84</v>
      </c>
      <c r="H461" s="332">
        <f>'ERR &amp; Sensitivity Analysis'!$D$14</f>
        <v>0.1</v>
      </c>
      <c r="I461" s="273">
        <f t="shared" si="44"/>
        <v>15.07679712</v>
      </c>
      <c r="J461" s="272">
        <f t="shared" si="45"/>
        <v>123.41284264627134</v>
      </c>
      <c r="K461" s="272">
        <f t="shared" si="46"/>
        <v>68.20184701644726</v>
      </c>
      <c r="L461" s="272">
        <f t="shared" si="47"/>
        <v>15.07679712</v>
      </c>
      <c r="M461" s="274">
        <f t="shared" si="48"/>
        <v>40.13419850982408</v>
      </c>
    </row>
    <row r="462" spans="2:13" ht="12.75">
      <c r="B462" s="271">
        <v>3.36</v>
      </c>
      <c r="C462" s="272">
        <v>12.35119</v>
      </c>
      <c r="D462" s="272">
        <v>12.35119</v>
      </c>
      <c r="E462" s="273">
        <f t="shared" si="42"/>
        <v>18.028304987176284</v>
      </c>
      <c r="F462" s="273">
        <f t="shared" si="43"/>
        <v>-0.6683243895846561</v>
      </c>
      <c r="G462" s="333">
        <f>'ERR &amp; Sensitivity Analysis'!$D$13</f>
        <v>84</v>
      </c>
      <c r="H462" s="332">
        <f>'ERR &amp; Sensitivity Analysis'!$D$14</f>
        <v>0.1</v>
      </c>
      <c r="I462" s="273">
        <f t="shared" si="44"/>
        <v>41.163998400000004</v>
      </c>
      <c r="J462" s="272">
        <f t="shared" si="45"/>
        <v>125.12224926044829</v>
      </c>
      <c r="K462" s="272">
        <f t="shared" si="46"/>
        <v>25.32595022432015</v>
      </c>
      <c r="L462" s="272">
        <f t="shared" si="47"/>
        <v>41.163998400000004</v>
      </c>
      <c r="M462" s="274">
        <f t="shared" si="48"/>
        <v>58.63230063612813</v>
      </c>
    </row>
    <row r="463" spans="2:13" ht="12.75">
      <c r="B463" s="271">
        <v>4.032</v>
      </c>
      <c r="C463" s="272">
        <v>12.40079</v>
      </c>
      <c r="D463" s="272">
        <v>12.40079</v>
      </c>
      <c r="E463" s="273">
        <f t="shared" si="42"/>
        <v>19.693998439803167</v>
      </c>
      <c r="F463" s="273">
        <f t="shared" si="43"/>
        <v>-0.6299453868840774</v>
      </c>
      <c r="G463" s="333">
        <f>'ERR &amp; Sensitivity Analysis'!$D$13</f>
        <v>84</v>
      </c>
      <c r="H463" s="332">
        <f>'ERR &amp; Sensitivity Analysis'!$D$14</f>
        <v>0.1</v>
      </c>
      <c r="I463" s="273">
        <f t="shared" si="44"/>
        <v>49.596785280000006</v>
      </c>
      <c r="J463" s="272">
        <f t="shared" si="45"/>
        <v>135.11515194741565</v>
      </c>
      <c r="K463" s="272">
        <f t="shared" si="46"/>
        <v>22.69935220985512</v>
      </c>
      <c r="L463" s="272">
        <f t="shared" si="47"/>
        <v>49.596785280000006</v>
      </c>
      <c r="M463" s="274">
        <f t="shared" si="48"/>
        <v>62.81901445756053</v>
      </c>
    </row>
    <row r="464" spans="2:13" ht="12.75">
      <c r="B464" s="271">
        <v>5.64</v>
      </c>
      <c r="C464" s="272">
        <v>12.58865</v>
      </c>
      <c r="D464" s="272">
        <v>12.58865</v>
      </c>
      <c r="E464" s="273">
        <f t="shared" si="42"/>
        <v>23.211447649208022</v>
      </c>
      <c r="F464" s="273">
        <f t="shared" si="43"/>
        <v>-0.558577058727169</v>
      </c>
      <c r="G464" s="333">
        <f>'ERR &amp; Sensitivity Analysis'!$D$13</f>
        <v>84</v>
      </c>
      <c r="H464" s="332">
        <f>'ERR &amp; Sensitivity Analysis'!$D$14</f>
        <v>0.1</v>
      </c>
      <c r="I464" s="273">
        <f t="shared" si="44"/>
        <v>70.435986</v>
      </c>
      <c r="J464" s="272">
        <f t="shared" si="45"/>
        <v>160.84344369432515</v>
      </c>
      <c r="K464" s="272">
        <f t="shared" si="46"/>
        <v>19.029368921739387</v>
      </c>
      <c r="L464" s="272">
        <f t="shared" si="47"/>
        <v>70.435986</v>
      </c>
      <c r="M464" s="274">
        <f t="shared" si="48"/>
        <v>71.37808877258577</v>
      </c>
    </row>
    <row r="465" spans="2:13" ht="12.75">
      <c r="B465" s="271">
        <v>2.76</v>
      </c>
      <c r="C465" s="272">
        <v>12.60145</v>
      </c>
      <c r="D465" s="272">
        <v>12.60145</v>
      </c>
      <c r="E465" s="273">
        <f t="shared" si="42"/>
        <v>16.521669961010968</v>
      </c>
      <c r="F465" s="273">
        <f t="shared" si="43"/>
        <v>-0.7062253436708883</v>
      </c>
      <c r="G465" s="333">
        <f>'ERR &amp; Sensitivity Analysis'!$D$13</f>
        <v>84</v>
      </c>
      <c r="H465" s="332">
        <f>'ERR &amp; Sensitivity Analysis'!$D$14</f>
        <v>0.1</v>
      </c>
      <c r="I465" s="273">
        <f t="shared" si="44"/>
        <v>34.504002</v>
      </c>
      <c r="J465" s="272">
        <f t="shared" si="45"/>
        <v>118.3900695675955</v>
      </c>
      <c r="K465" s="272">
        <f t="shared" si="46"/>
        <v>28.5933446573063</v>
      </c>
      <c r="L465" s="272">
        <f t="shared" si="47"/>
        <v>34.504002</v>
      </c>
      <c r="M465" s="274">
        <f t="shared" si="48"/>
        <v>55.2927229102892</v>
      </c>
    </row>
    <row r="466" spans="2:13" ht="12.75">
      <c r="B466" s="271">
        <v>2.464</v>
      </c>
      <c r="C466" s="272">
        <v>12.98701</v>
      </c>
      <c r="D466" s="272">
        <v>12.98701</v>
      </c>
      <c r="E466" s="273">
        <f t="shared" si="42"/>
        <v>15.816716114337304</v>
      </c>
      <c r="F466" s="273">
        <f t="shared" si="43"/>
        <v>-0.7251629662848121</v>
      </c>
      <c r="G466" s="333">
        <f>'ERR &amp; Sensitivity Analysis'!$D$13</f>
        <v>84</v>
      </c>
      <c r="H466" s="332">
        <f>'ERR &amp; Sensitivity Analysis'!$D$14</f>
        <v>0.1</v>
      </c>
      <c r="I466" s="273">
        <f t="shared" si="44"/>
        <v>31.75359264</v>
      </c>
      <c r="J466" s="272">
        <f t="shared" si="45"/>
        <v>116.4326081075428</v>
      </c>
      <c r="K466" s="272">
        <f t="shared" si="46"/>
        <v>30.563566657850316</v>
      </c>
      <c r="L466" s="272">
        <f t="shared" si="47"/>
        <v>31.75359264</v>
      </c>
      <c r="M466" s="274">
        <f t="shared" si="48"/>
        <v>54.11544880969249</v>
      </c>
    </row>
    <row r="467" spans="2:13" ht="12.75">
      <c r="B467" s="271">
        <v>1.848</v>
      </c>
      <c r="C467" s="272">
        <v>14.06926</v>
      </c>
      <c r="D467" s="272">
        <v>14.06926</v>
      </c>
      <c r="E467" s="273">
        <f t="shared" si="42"/>
        <v>14.213226717703868</v>
      </c>
      <c r="F467" s="273">
        <f t="shared" si="43"/>
        <v>-0.7715866024614257</v>
      </c>
      <c r="G467" s="333">
        <f>'ERR &amp; Sensitivity Analysis'!$D$13</f>
        <v>84</v>
      </c>
      <c r="H467" s="332">
        <f>'ERR &amp; Sensitivity Analysis'!$D$14</f>
        <v>0.1</v>
      </c>
      <c r="I467" s="273">
        <f t="shared" si="44"/>
        <v>25.81519248</v>
      </c>
      <c r="J467" s="272">
        <f t="shared" si="45"/>
        <v>113.8286666201756</v>
      </c>
      <c r="K467" s="272">
        <f t="shared" si="46"/>
        <v>36.775426006179934</v>
      </c>
      <c r="L467" s="272">
        <f t="shared" si="47"/>
        <v>25.81519248</v>
      </c>
      <c r="M467" s="274">
        <f t="shared" si="48"/>
        <v>51.238048133995655</v>
      </c>
    </row>
    <row r="468" spans="2:13" ht="12.75">
      <c r="B468" s="271">
        <v>2.48052</v>
      </c>
      <c r="C468" s="272">
        <v>14.21073</v>
      </c>
      <c r="D468" s="272">
        <v>14.21073</v>
      </c>
      <c r="E468" s="273">
        <f aca="true" t="shared" si="49" ref="E468:E474">B468/(D468^F468)</f>
        <v>16.354554131755247</v>
      </c>
      <c r="F468" s="273">
        <f aca="true" t="shared" si="50" ref="F468:F474">LN(B468/G468)/LN(D468/H468)</f>
        <v>-0.7106405774515614</v>
      </c>
      <c r="G468" s="333">
        <f>'ERR &amp; Sensitivity Analysis'!$D$13</f>
        <v>84</v>
      </c>
      <c r="H468" s="332">
        <f>'ERR &amp; Sensitivity Analysis'!$D$14</f>
        <v>0.1</v>
      </c>
      <c r="I468" s="273">
        <f aca="true" t="shared" si="51" ref="I468:I474">IF((D468-H468)*B468&gt;0,(D468-H468)*B468,0)</f>
        <v>35.0019479796</v>
      </c>
      <c r="J468" s="272">
        <f aca="true" t="shared" si="52" ref="J468:J474">(E468*(D468^(F468+1)))/(F468+1)</f>
        <v>121.82081256987294</v>
      </c>
      <c r="K468" s="272">
        <f aca="true" t="shared" si="53" ref="K468:K474">(E468*(H468^(F468+1)))/(F468+1)</f>
        <v>29.029640458982637</v>
      </c>
      <c r="L468" s="272">
        <f aca="true" t="shared" si="54" ref="L468:L474">(D468-H468)*B468</f>
        <v>35.0019479796</v>
      </c>
      <c r="M468" s="274">
        <f aca="true" t="shared" si="55" ref="M468:M474">J468-K468-L468</f>
        <v>57.789224131290304</v>
      </c>
    </row>
    <row r="469" spans="2:13" ht="12.75">
      <c r="B469" s="271">
        <v>3.36</v>
      </c>
      <c r="C469" s="272">
        <v>15.32738</v>
      </c>
      <c r="D469" s="272">
        <v>15.32738</v>
      </c>
      <c r="E469" s="273">
        <f t="shared" si="49"/>
        <v>19.258692193807086</v>
      </c>
      <c r="F469" s="273">
        <f t="shared" si="50"/>
        <v>-0.6396524940468501</v>
      </c>
      <c r="G469" s="333">
        <f>'ERR &amp; Sensitivity Analysis'!$D$13</f>
        <v>84</v>
      </c>
      <c r="H469" s="332">
        <f>'ERR &amp; Sensitivity Analysis'!$D$14</f>
        <v>0.1</v>
      </c>
      <c r="I469" s="273">
        <f t="shared" si="51"/>
        <v>51.1639968</v>
      </c>
      <c r="J469" s="272">
        <f t="shared" si="52"/>
        <v>142.91758913046482</v>
      </c>
      <c r="K469" s="272">
        <f t="shared" si="53"/>
        <v>23.31083152020514</v>
      </c>
      <c r="L469" s="272">
        <f t="shared" si="54"/>
        <v>51.1639968</v>
      </c>
      <c r="M469" s="274">
        <f t="shared" si="55"/>
        <v>68.44276081025967</v>
      </c>
    </row>
    <row r="470" spans="2:13" ht="12.75">
      <c r="B470" s="271">
        <v>2.24</v>
      </c>
      <c r="C470" s="272">
        <v>16.18303</v>
      </c>
      <c r="D470" s="272">
        <v>16.18303</v>
      </c>
      <c r="E470" s="273">
        <f t="shared" si="49"/>
        <v>16.28338991410632</v>
      </c>
      <c r="F470" s="273">
        <f t="shared" si="50"/>
        <v>-0.7125344636576758</v>
      </c>
      <c r="G470" s="333">
        <f>'ERR &amp; Sensitivity Analysis'!$D$13</f>
        <v>84</v>
      </c>
      <c r="H470" s="332">
        <f>'ERR &amp; Sensitivity Analysis'!$D$14</f>
        <v>0.1</v>
      </c>
      <c r="I470" s="273">
        <f t="shared" si="51"/>
        <v>36.025987199999996</v>
      </c>
      <c r="J470" s="272">
        <f t="shared" si="52"/>
        <v>126.10202830308056</v>
      </c>
      <c r="K470" s="272">
        <f t="shared" si="53"/>
        <v>29.22089411788475</v>
      </c>
      <c r="L470" s="272">
        <f t="shared" si="54"/>
        <v>36.025987199999996</v>
      </c>
      <c r="M470" s="274">
        <f t="shared" si="55"/>
        <v>60.85514698519581</v>
      </c>
    </row>
    <row r="471" spans="2:13" ht="12.75">
      <c r="B471" s="271">
        <v>1.652</v>
      </c>
      <c r="C471" s="272">
        <v>17.25182</v>
      </c>
      <c r="D471" s="272">
        <v>17.25182</v>
      </c>
      <c r="E471" s="273">
        <f t="shared" si="49"/>
        <v>14.503543261267001</v>
      </c>
      <c r="F471" s="273">
        <f t="shared" si="50"/>
        <v>-0.7628051713557515</v>
      </c>
      <c r="G471" s="333">
        <f>'ERR &amp; Sensitivity Analysis'!$D$13</f>
        <v>84</v>
      </c>
      <c r="H471" s="332">
        <f>'ERR &amp; Sensitivity Analysis'!$D$14</f>
        <v>0.1</v>
      </c>
      <c r="I471" s="273">
        <f t="shared" si="51"/>
        <v>28.334806639999993</v>
      </c>
      <c r="J471" s="272">
        <f t="shared" si="52"/>
        <v>120.15441821771383</v>
      </c>
      <c r="K471" s="272">
        <f t="shared" si="53"/>
        <v>35.41392553966073</v>
      </c>
      <c r="L471" s="272">
        <f t="shared" si="54"/>
        <v>28.334806639999993</v>
      </c>
      <c r="M471" s="274">
        <f t="shared" si="55"/>
        <v>56.405686038053105</v>
      </c>
    </row>
    <row r="472" spans="2:13" ht="12.75">
      <c r="B472" s="271">
        <v>1.12</v>
      </c>
      <c r="C472" s="272">
        <v>17.5</v>
      </c>
      <c r="D472" s="272">
        <v>17.5</v>
      </c>
      <c r="E472" s="273">
        <f t="shared" si="49"/>
        <v>12.255531100455606</v>
      </c>
      <c r="F472" s="273">
        <f t="shared" si="50"/>
        <v>-0.8359471496660024</v>
      </c>
      <c r="G472" s="333">
        <f>'ERR &amp; Sensitivity Analysis'!$D$13</f>
        <v>84</v>
      </c>
      <c r="H472" s="332">
        <f>'ERR &amp; Sensitivity Analysis'!$D$14</f>
        <v>0.1</v>
      </c>
      <c r="I472" s="273">
        <f t="shared" si="51"/>
        <v>19.488</v>
      </c>
      <c r="J472" s="272">
        <f t="shared" si="52"/>
        <v>119.47369375232478</v>
      </c>
      <c r="K472" s="272">
        <f t="shared" si="53"/>
        <v>51.20301160813915</v>
      </c>
      <c r="L472" s="272">
        <f t="shared" si="54"/>
        <v>19.488</v>
      </c>
      <c r="M472" s="274">
        <f t="shared" si="55"/>
        <v>48.78268214418563</v>
      </c>
    </row>
    <row r="473" spans="2:13" ht="12.75">
      <c r="B473" s="271">
        <v>9.24</v>
      </c>
      <c r="C473" s="272">
        <v>23.37662</v>
      </c>
      <c r="D473" s="272">
        <v>23.37662</v>
      </c>
      <c r="E473" s="273">
        <f t="shared" si="49"/>
        <v>33.08229277750091</v>
      </c>
      <c r="F473" s="273">
        <f t="shared" si="50"/>
        <v>-0.40468368523847537</v>
      </c>
      <c r="G473" s="333">
        <f>'ERR &amp; Sensitivity Analysis'!$D$13</f>
        <v>84</v>
      </c>
      <c r="H473" s="332">
        <f>'ERR &amp; Sensitivity Analysis'!$D$14</f>
        <v>0.1</v>
      </c>
      <c r="I473" s="273">
        <f t="shared" si="51"/>
        <v>215.07596879999997</v>
      </c>
      <c r="J473" s="272">
        <f t="shared" si="52"/>
        <v>362.8322682312621</v>
      </c>
      <c r="K473" s="272">
        <f t="shared" si="53"/>
        <v>14.110145802681258</v>
      </c>
      <c r="L473" s="272">
        <f t="shared" si="54"/>
        <v>215.07596879999997</v>
      </c>
      <c r="M473" s="274">
        <f t="shared" si="55"/>
        <v>133.6461536285809</v>
      </c>
    </row>
    <row r="474" spans="2:13" ht="12.75">
      <c r="B474" s="275">
        <v>3.696</v>
      </c>
      <c r="C474" s="276">
        <v>36.93182</v>
      </c>
      <c r="D474" s="276">
        <f>C474</f>
        <v>36.93182</v>
      </c>
      <c r="E474" s="277">
        <f t="shared" si="49"/>
        <v>24.88315615377859</v>
      </c>
      <c r="F474" s="277">
        <f t="shared" si="50"/>
        <v>-0.5283738210866172</v>
      </c>
      <c r="G474" s="333">
        <f>'ERR &amp; Sensitivity Analysis'!$D$13</f>
        <v>84</v>
      </c>
      <c r="H474" s="332">
        <f>'ERR &amp; Sensitivity Analysis'!$D$14</f>
        <v>0.1</v>
      </c>
      <c r="I474" s="277">
        <f t="shared" si="51"/>
        <v>136.13040672</v>
      </c>
      <c r="J474" s="276">
        <f t="shared" si="52"/>
        <v>289.42415163317116</v>
      </c>
      <c r="K474" s="276">
        <f t="shared" si="53"/>
        <v>17.81071614674451</v>
      </c>
      <c r="L474" s="276">
        <f t="shared" si="54"/>
        <v>136.13040672</v>
      </c>
      <c r="M474" s="278">
        <f t="shared" si="55"/>
        <v>135.48302876642663</v>
      </c>
    </row>
    <row r="476" spans="2:13" ht="12.75">
      <c r="B476">
        <f>AVERAGE(B19:B451)</f>
        <v>8.6275510300231</v>
      </c>
      <c r="C476">
        <f aca="true" t="shared" si="56" ref="C476:M476">AVERAGE(C19:C451)</f>
        <v>1.9265468454965358</v>
      </c>
      <c r="D476">
        <f t="shared" si="56"/>
        <v>1.9265468454965358</v>
      </c>
      <c r="E476">
        <f t="shared" si="56"/>
        <v>9.941395248190654</v>
      </c>
      <c r="F476">
        <f t="shared" si="56"/>
        <v>-1.0665701803898382</v>
      </c>
      <c r="G476">
        <f t="shared" si="56"/>
        <v>84</v>
      </c>
      <c r="H476">
        <f t="shared" si="56"/>
        <v>0.1000000000000008</v>
      </c>
      <c r="I476">
        <f t="shared" si="56"/>
        <v>11.817660706885428</v>
      </c>
      <c r="J476">
        <f t="shared" si="56"/>
        <v>2.2742153382583825</v>
      </c>
      <c r="K476">
        <f t="shared" si="56"/>
        <v>-25.411601926472017</v>
      </c>
      <c r="L476">
        <f t="shared" si="56"/>
        <v>11.817660706885428</v>
      </c>
      <c r="M476">
        <f t="shared" si="56"/>
        <v>15.868156557845007</v>
      </c>
    </row>
  </sheetData>
  <sheetProtection/>
  <mergeCells count="1">
    <mergeCell ref="O18:S18"/>
  </mergeCells>
  <conditionalFormatting sqref="N17 O18">
    <cfRule type="cellIs" priority="1" dxfId="1" operator="equal" stopIfTrue="1">
      <formula>0</formula>
    </cfRule>
    <cfRule type="cellIs" priority="2" dxfId="0" operator="notEqual" stopIfTrue="1">
      <formula>0</formula>
    </cfRule>
  </conditionalFormatting>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12"/>
  <dimension ref="A2:K37"/>
  <sheetViews>
    <sheetView zoomScalePageLayoutView="0" workbookViewId="0" topLeftCell="A1">
      <selection activeCell="A1" sqref="A1"/>
    </sheetView>
  </sheetViews>
  <sheetFormatPr defaultColWidth="9.140625" defaultRowHeight="12.75"/>
  <cols>
    <col min="1" max="1" width="7.7109375" style="0" customWidth="1"/>
    <col min="2" max="2" width="40.8515625" style="0" customWidth="1"/>
    <col min="3" max="3" width="7.57421875" style="0" customWidth="1"/>
    <col min="4" max="4" width="21.7109375" style="0" customWidth="1"/>
    <col min="5" max="8" width="10.7109375" style="0" customWidth="1"/>
  </cols>
  <sheetData>
    <row r="1" ht="12.75" customHeight="1"/>
    <row r="2" spans="2:8" ht="20.25">
      <c r="B2" s="18" t="s">
        <v>33</v>
      </c>
      <c r="C2" s="18"/>
      <c r="H2" s="214" t="s">
        <v>183</v>
      </c>
    </row>
    <row r="3" spans="2:9" ht="18" customHeight="1">
      <c r="B3" s="17" t="s">
        <v>48</v>
      </c>
      <c r="C3" s="458">
        <f>IF('ERR &amp; Sensitivity Analysis'!$I$10="N","Note: Current calculations are based on user input and are not original MCC estimates.",IF('ERR &amp; Sensitivity Analysis'!$I$13="N","Note: Current calculations are based on user input and are not the original MCC estimates.",0))</f>
        <v>0</v>
      </c>
      <c r="D3" s="458"/>
      <c r="E3" s="458"/>
      <c r="F3" s="458"/>
      <c r="G3" s="458"/>
      <c r="H3" s="458"/>
      <c r="I3" s="458"/>
    </row>
    <row r="4" spans="6:7" ht="12.75">
      <c r="F4" s="156"/>
      <c r="G4" s="157"/>
    </row>
    <row r="5" ht="12.75">
      <c r="G5" s="78"/>
    </row>
    <row r="6" spans="2:9" ht="12.75">
      <c r="B6" s="240" t="s">
        <v>118</v>
      </c>
      <c r="C6" s="283"/>
      <c r="D6" s="21" t="s">
        <v>120</v>
      </c>
      <c r="E6" s="338">
        <f>'ERR &amp; Sensitivity Analysis'!E14</f>
        <v>0.1</v>
      </c>
      <c r="F6" s="243" t="s">
        <v>140</v>
      </c>
      <c r="G6" s="262" t="s">
        <v>191</v>
      </c>
      <c r="H6" s="251"/>
      <c r="I6" s="4"/>
    </row>
    <row r="7" spans="2:9" ht="12.75">
      <c r="B7" s="128"/>
      <c r="C7" s="130"/>
      <c r="D7" s="249" t="s">
        <v>190</v>
      </c>
      <c r="E7" s="339">
        <v>8.44</v>
      </c>
      <c r="F7" s="244" t="s">
        <v>122</v>
      </c>
      <c r="H7" s="4"/>
      <c r="I7" s="4"/>
    </row>
    <row r="8" spans="2:9" ht="12.75">
      <c r="B8" s="240" t="s">
        <v>119</v>
      </c>
      <c r="C8" s="283"/>
      <c r="D8" s="250" t="s">
        <v>192</v>
      </c>
      <c r="E8" s="131">
        <f>'Solar Calculations'!D26</f>
        <v>24.46999999999999</v>
      </c>
      <c r="F8" s="243" t="s">
        <v>218</v>
      </c>
      <c r="H8" s="4"/>
      <c r="I8" s="4"/>
    </row>
    <row r="9" spans="2:9" ht="12.75">
      <c r="B9" s="155"/>
      <c r="C9" s="4"/>
      <c r="D9" s="136" t="s">
        <v>35</v>
      </c>
      <c r="E9" s="332">
        <f>'ERR &amp; Sensitivity Analysis'!D15</f>
        <v>0.44</v>
      </c>
      <c r="F9" s="245" t="s">
        <v>140</v>
      </c>
      <c r="H9" s="4"/>
      <c r="I9" s="4"/>
    </row>
    <row r="10" spans="2:9" ht="12.75">
      <c r="B10" s="128"/>
      <c r="C10" s="130"/>
      <c r="D10" s="24" t="s">
        <v>121</v>
      </c>
      <c r="E10" s="339">
        <f>E8*E9</f>
        <v>10.766799999999996</v>
      </c>
      <c r="F10" s="129" t="s">
        <v>122</v>
      </c>
      <c r="H10" s="4"/>
      <c r="I10" s="4"/>
    </row>
    <row r="12" spans="2:6" ht="12.75">
      <c r="B12" s="246" t="s">
        <v>142</v>
      </c>
      <c r="C12" s="284"/>
      <c r="D12" s="247"/>
      <c r="E12" s="340">
        <v>0.03</v>
      </c>
      <c r="F12" s="248" t="s">
        <v>143</v>
      </c>
    </row>
    <row r="13" spans="2:6" ht="12.75">
      <c r="B13" s="242"/>
      <c r="C13" s="242"/>
      <c r="F13" s="135"/>
    </row>
    <row r="14" spans="2:11" ht="12.75">
      <c r="B14" s="115"/>
      <c r="C14" s="285"/>
      <c r="D14" s="252" t="s">
        <v>111</v>
      </c>
      <c r="E14" s="116"/>
      <c r="F14" s="116"/>
      <c r="G14" s="116"/>
      <c r="H14" s="117"/>
      <c r="I14" s="112"/>
      <c r="J14" s="112"/>
      <c r="K14" s="4"/>
    </row>
    <row r="15" spans="2:11" ht="12.75">
      <c r="B15" s="118" t="s">
        <v>99</v>
      </c>
      <c r="C15" s="286"/>
      <c r="D15" s="253" t="s">
        <v>2</v>
      </c>
      <c r="E15" s="253" t="s">
        <v>3</v>
      </c>
      <c r="F15" s="253" t="s">
        <v>4</v>
      </c>
      <c r="G15" s="253" t="s">
        <v>5</v>
      </c>
      <c r="H15" s="254" t="s">
        <v>6</v>
      </c>
      <c r="I15" s="112"/>
      <c r="J15" s="112"/>
      <c r="K15" s="4"/>
    </row>
    <row r="16" spans="2:11" ht="12.75">
      <c r="B16" s="119" t="s">
        <v>58</v>
      </c>
      <c r="C16" s="13"/>
      <c r="D16" s="120">
        <v>0</v>
      </c>
      <c r="E16" s="121">
        <v>0.1857063307142353</v>
      </c>
      <c r="F16" s="121">
        <v>0.043918754469783876</v>
      </c>
      <c r="G16" s="121">
        <v>0.03050273064071935</v>
      </c>
      <c r="H16" s="122">
        <v>0.05069637608587341</v>
      </c>
      <c r="I16" s="112"/>
      <c r="J16" s="112"/>
      <c r="K16" s="4"/>
    </row>
    <row r="17" spans="2:11" ht="12.75">
      <c r="B17" s="119" t="s">
        <v>28</v>
      </c>
      <c r="C17" s="13"/>
      <c r="D17" s="120">
        <v>0</v>
      </c>
      <c r="E17" s="121">
        <v>0.6821353718520127</v>
      </c>
      <c r="F17" s="121">
        <v>0.7628393952658409</v>
      </c>
      <c r="G17" s="121">
        <v>0.6188256843481723</v>
      </c>
      <c r="H17" s="122">
        <v>0.5485209743854567</v>
      </c>
      <c r="I17" s="112"/>
      <c r="J17" s="4"/>
      <c r="K17" s="4"/>
    </row>
    <row r="18" spans="2:11" ht="25.5">
      <c r="B18" s="241" t="s">
        <v>29</v>
      </c>
      <c r="C18" s="287"/>
      <c r="D18" s="120">
        <v>0</v>
      </c>
      <c r="E18" s="121">
        <v>0.015811989732888908</v>
      </c>
      <c r="F18" s="121">
        <v>0.012177010931344809</v>
      </c>
      <c r="G18" s="121">
        <v>0.018796545189077283</v>
      </c>
      <c r="H18" s="122">
        <v>0.020632806148692426</v>
      </c>
      <c r="I18" s="112"/>
      <c r="J18" s="112"/>
      <c r="K18" s="4"/>
    </row>
    <row r="19" spans="2:11" ht="12.75">
      <c r="B19" s="119" t="s">
        <v>30</v>
      </c>
      <c r="C19" s="13"/>
      <c r="D19" s="120">
        <v>0</v>
      </c>
      <c r="E19" s="121">
        <v>0</v>
      </c>
      <c r="F19" s="121">
        <v>0.1457703596035302</v>
      </c>
      <c r="G19" s="121">
        <v>0.3075079469464758</v>
      </c>
      <c r="H19" s="122">
        <v>0.20509946598157164</v>
      </c>
      <c r="I19" s="112"/>
      <c r="J19" s="112"/>
      <c r="K19" s="4"/>
    </row>
    <row r="20" spans="2:11" ht="12.75">
      <c r="B20" s="119" t="s">
        <v>88</v>
      </c>
      <c r="C20" s="13"/>
      <c r="D20" s="120">
        <v>0</v>
      </c>
      <c r="E20" s="121">
        <v>0</v>
      </c>
      <c r="F20" s="121">
        <v>0</v>
      </c>
      <c r="G20" s="121">
        <v>0</v>
      </c>
      <c r="H20" s="122">
        <v>0.06355723218583348</v>
      </c>
      <c r="I20" s="112"/>
      <c r="J20" s="112"/>
      <c r="K20" s="4"/>
    </row>
    <row r="21" spans="2:11" ht="12.75">
      <c r="B21" s="119" t="s">
        <v>89</v>
      </c>
      <c r="C21" s="13"/>
      <c r="D21" s="120">
        <v>0</v>
      </c>
      <c r="E21" s="121">
        <v>0</v>
      </c>
      <c r="F21" s="121">
        <v>0</v>
      </c>
      <c r="G21" s="121">
        <v>0</v>
      </c>
      <c r="H21" s="122">
        <v>0.08449396014312234</v>
      </c>
      <c r="I21" s="112"/>
      <c r="J21" s="112"/>
      <c r="K21" s="4"/>
    </row>
    <row r="22" spans="2:11" ht="12.75">
      <c r="B22" s="123" t="s">
        <v>87</v>
      </c>
      <c r="C22" s="12"/>
      <c r="D22" s="80">
        <v>1</v>
      </c>
      <c r="E22" s="124">
        <v>0.11634630770086314</v>
      </c>
      <c r="F22" s="124">
        <v>0.03529447972950023</v>
      </c>
      <c r="G22" s="124">
        <v>0.024367092875555222</v>
      </c>
      <c r="H22" s="125">
        <v>0.026999185069450142</v>
      </c>
      <c r="I22" s="112"/>
      <c r="J22" s="112"/>
      <c r="K22" s="4"/>
    </row>
    <row r="23" spans="1:11" ht="12.75">
      <c r="A23" s="4"/>
      <c r="B23" s="256" t="s">
        <v>112</v>
      </c>
      <c r="C23" s="288"/>
      <c r="D23" s="113"/>
      <c r="E23" s="28"/>
      <c r="F23" s="112"/>
      <c r="G23" s="112"/>
      <c r="H23" s="112"/>
      <c r="I23" s="112"/>
      <c r="J23" s="112"/>
      <c r="K23" s="4"/>
    </row>
    <row r="24" spans="1:11" ht="12.75">
      <c r="A24" s="4"/>
      <c r="B24" s="112"/>
      <c r="C24" s="112"/>
      <c r="D24" s="113"/>
      <c r="E24" s="28"/>
      <c r="F24" s="112"/>
      <c r="G24" s="112"/>
      <c r="H24" s="112"/>
      <c r="I24" s="112"/>
      <c r="J24" s="112"/>
      <c r="K24" s="4"/>
    </row>
    <row r="25" spans="2:10" ht="12.75">
      <c r="B25" s="133" t="s">
        <v>32</v>
      </c>
      <c r="C25" s="289" t="s">
        <v>0</v>
      </c>
      <c r="D25" s="290" t="s">
        <v>2</v>
      </c>
      <c r="E25" s="290" t="s">
        <v>3</v>
      </c>
      <c r="F25" s="290" t="s">
        <v>4</v>
      </c>
      <c r="G25" s="290" t="s">
        <v>5</v>
      </c>
      <c r="H25" s="291" t="s">
        <v>6</v>
      </c>
      <c r="J25" s="16"/>
    </row>
    <row r="26" spans="2:8" ht="12.75">
      <c r="B26" s="255" t="s">
        <v>55</v>
      </c>
      <c r="C26" s="126">
        <f>SUM(D26:H26)</f>
        <v>22969.680176860726</v>
      </c>
      <c r="D26" s="258">
        <v>0</v>
      </c>
      <c r="E26" s="258">
        <v>1391.858511422255</v>
      </c>
      <c r="F26" s="258">
        <v>2553.868828297716</v>
      </c>
      <c r="G26" s="258">
        <v>5959.027266028003</v>
      </c>
      <c r="H26" s="259">
        <f>6056.92557111275+7008</f>
        <v>13064.92557111275</v>
      </c>
    </row>
    <row r="27" spans="2:10" ht="12.75">
      <c r="B27" s="119" t="s">
        <v>56</v>
      </c>
      <c r="C27" s="126">
        <f>SUM(D27:H27)</f>
        <v>10030.319823139278</v>
      </c>
      <c r="D27" s="258">
        <v>0</v>
      </c>
      <c r="E27" s="258">
        <v>0</v>
      </c>
      <c r="F27" s="258">
        <v>1702.5792188651437</v>
      </c>
      <c r="G27" s="258">
        <v>5320.560058953574</v>
      </c>
      <c r="H27" s="259">
        <v>3007.1805453205598</v>
      </c>
      <c r="J27" s="16"/>
    </row>
    <row r="28" spans="2:10" ht="12.75">
      <c r="B28" s="123" t="s">
        <v>57</v>
      </c>
      <c r="C28" s="97">
        <f>SUM(D28:H28)</f>
        <v>1950</v>
      </c>
      <c r="D28" s="260">
        <v>0</v>
      </c>
      <c r="E28" s="260">
        <v>450</v>
      </c>
      <c r="F28" s="260">
        <v>500</v>
      </c>
      <c r="G28" s="260">
        <v>400</v>
      </c>
      <c r="H28" s="261">
        <v>600</v>
      </c>
      <c r="J28" s="16"/>
    </row>
    <row r="29" spans="2:10" ht="12.75">
      <c r="B29" s="123"/>
      <c r="C29" s="97">
        <f>SUM(D29:H29)</f>
        <v>34950</v>
      </c>
      <c r="D29" s="97">
        <f>SUM(D26:D28)</f>
        <v>0</v>
      </c>
      <c r="E29" s="97">
        <f>SUM(E26:E28)</f>
        <v>1841.858511422255</v>
      </c>
      <c r="F29" s="97">
        <f>SUM(F26:F28)</f>
        <v>4756.448047162859</v>
      </c>
      <c r="G29" s="97">
        <f>SUM(G26:G28)</f>
        <v>11679.587324981578</v>
      </c>
      <c r="H29" s="132">
        <f>SUM(H26:H28)</f>
        <v>16672.106116433308</v>
      </c>
      <c r="J29" s="16"/>
    </row>
    <row r="30" spans="2:3" ht="12.75">
      <c r="B30" s="257" t="s">
        <v>113</v>
      </c>
      <c r="C30" s="257"/>
    </row>
    <row r="31" spans="2:7" ht="12.75">
      <c r="B31" s="107"/>
      <c r="C31" s="107"/>
      <c r="D31" s="107"/>
      <c r="E31" s="107"/>
      <c r="F31" s="107"/>
      <c r="G31" s="107"/>
    </row>
    <row r="33" spans="2:3" ht="12.75">
      <c r="B33" s="134"/>
      <c r="C33" s="134"/>
    </row>
    <row r="34" spans="2:3" ht="12.75">
      <c r="B34" s="134"/>
      <c r="C34" s="134"/>
    </row>
    <row r="37" spans="2:3" ht="12.75">
      <c r="B37" s="3"/>
      <c r="C37" s="3"/>
    </row>
  </sheetData>
  <sheetProtection/>
  <mergeCells count="1">
    <mergeCell ref="C3:I3"/>
  </mergeCells>
  <conditionalFormatting sqref="B31:C31">
    <cfRule type="cellIs" priority="3" dxfId="1" operator="equal" stopIfTrue="1">
      <formula>0</formula>
    </cfRule>
    <cfRule type="cellIs" priority="4" dxfId="0" operator="notEqual" stopIfTrue="1">
      <formula>0</formula>
    </cfRule>
  </conditionalFormatting>
  <conditionalFormatting sqref="C3">
    <cfRule type="cellIs" priority="1" dxfId="1" operator="equal" stopIfTrue="1">
      <formula>0</formula>
    </cfRule>
    <cfRule type="cellIs" priority="2" dxfId="0" operator="notEqual" stopIfTrue="1">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 Salvador's Rural Electrification Project</dc:title>
  <dc:subject/>
  <dc:creator>Millennium Challenge Corporation</dc:creator>
  <cp:keywords/>
  <dc:description/>
  <cp:lastModifiedBy>Block, Marissa L (DPE/EE-EA/PSC)</cp:lastModifiedBy>
  <cp:lastPrinted>2010-05-14T14:54:58Z</cp:lastPrinted>
  <dcterms:created xsi:type="dcterms:W3CDTF">2006-04-03T23:16:41Z</dcterms:created>
  <dcterms:modified xsi:type="dcterms:W3CDTF">2015-03-27T15:07:41Z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