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955" windowHeight="7215" activeTab="0"/>
  </bookViews>
  <sheets>
    <sheet name="User's Guide" sheetId="1" r:id="rId1"/>
    <sheet name="Project Description" sheetId="2" r:id="rId2"/>
    <sheet name="ERR &amp; Sensitivity Analysis" sheetId="3" r:id="rId3"/>
    <sheet name="Cost-Benefit Summary" sheetId="4" r:id="rId4"/>
    <sheet name="Cost Assumptions" sheetId="5" r:id="rId5"/>
    <sheet name="Poverty Scorecard" sheetId="6" r:id="rId6"/>
    <sheet name="Notes" sheetId="7" state="hidden" r:id="rId7"/>
  </sheets>
  <definedNames/>
  <calcPr fullCalcOnLoad="1"/>
</workbook>
</file>

<file path=xl/sharedStrings.xml><?xml version="1.0" encoding="utf-8"?>
<sst xmlns="http://schemas.openxmlformats.org/spreadsheetml/2006/main" count="241" uniqueCount="205">
  <si>
    <t>Business Services</t>
  </si>
  <si>
    <t>Pre-Investment Studies</t>
  </si>
  <si>
    <t>Production Support Services</t>
  </si>
  <si>
    <t>In-kind goods</t>
  </si>
  <si>
    <t>Project Management</t>
  </si>
  <si>
    <t>Productive Development</t>
  </si>
  <si>
    <t>Intent to treat Impact on Producers</t>
  </si>
  <si>
    <t>2012 USD</t>
  </si>
  <si>
    <t>Total Participants</t>
  </si>
  <si>
    <t>Dairy</t>
  </si>
  <si>
    <t>Horticulture</t>
  </si>
  <si>
    <t>Phase in of benefits</t>
  </si>
  <si>
    <t>Year</t>
  </si>
  <si>
    <t>%</t>
  </si>
  <si>
    <t>Variable</t>
  </si>
  <si>
    <t>Unit</t>
  </si>
  <si>
    <t>Days Worked Per year</t>
  </si>
  <si>
    <t>2012 USD/day</t>
  </si>
  <si>
    <t>Days</t>
  </si>
  <si>
    <t>ERR</t>
  </si>
  <si>
    <t>Handicrafts</t>
  </si>
  <si>
    <t>ERR and sensitivity analysis</t>
  </si>
  <si>
    <t xml:space="preserve">Last updated:  </t>
  </si>
  <si>
    <r>
      <t>Change the "</t>
    </r>
    <r>
      <rPr>
        <sz val="10"/>
        <color indexed="12"/>
        <rFont val="Arial"/>
        <family val="2"/>
      </rPr>
      <t>User Input</t>
    </r>
    <r>
      <rPr>
        <sz val="10"/>
        <rFont val="Arial"/>
        <family val="2"/>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2"/>
      </rPr>
      <t>" button at right.  Be sure to reset all summary parameters to their original values ("MCC Estimate" values) before changing specific parameters.</t>
    </r>
  </si>
  <si>
    <t>Parameter type</t>
  </si>
  <si>
    <t>Description of key parameters</t>
  </si>
  <si>
    <t>Parameter values</t>
  </si>
  <si>
    <t>User Input</t>
  </si>
  <si>
    <t>MCC Estimate</t>
  </si>
  <si>
    <t>Plausible range</t>
  </si>
  <si>
    <t>Values used in ERR computation</t>
  </si>
  <si>
    <t>All summary parameters set to initial values?</t>
  </si>
  <si>
    <t>Summary</t>
  </si>
  <si>
    <t>Actual costs as a percentage of estimated costs</t>
  </si>
  <si>
    <t>80 - 120%</t>
  </si>
  <si>
    <t>Actual benefits as a percentage of estimated benefits</t>
  </si>
  <si>
    <t>Specific</t>
  </si>
  <si>
    <t xml:space="preserve">   More Info</t>
  </si>
  <si>
    <t>Economic rate of return (ERR):</t>
  </si>
  <si>
    <t>20 years</t>
  </si>
  <si>
    <t>Based on $90 agricultural min. wage per month.&amp; employed half of year.</t>
  </si>
  <si>
    <t>% of treatment sample that participated</t>
  </si>
  <si>
    <t>Wage w/o project</t>
  </si>
  <si>
    <t>Increase in FTEs per participant</t>
  </si>
  <si>
    <t>FTE</t>
  </si>
  <si>
    <t>people</t>
  </si>
  <si>
    <t>Impact per participant</t>
  </si>
  <si>
    <t>Chain Participants</t>
  </si>
  <si>
    <t>Full time wage</t>
  </si>
  <si>
    <t>Artisian</t>
  </si>
  <si>
    <t>Other</t>
  </si>
  <si>
    <t>Include?</t>
  </si>
  <si>
    <t>Tourism</t>
  </si>
  <si>
    <t>Fisheries</t>
  </si>
  <si>
    <t>Apiculture</t>
  </si>
  <si>
    <t>Coffee</t>
  </si>
  <si>
    <t>Forestry</t>
  </si>
  <si>
    <t>All Chains</t>
  </si>
  <si>
    <t xml:space="preserve">Value Chain </t>
  </si>
  <si>
    <t xml:space="preserve">Technical Assistance and Training </t>
  </si>
  <si>
    <t xml:space="preserve">Donations </t>
  </si>
  <si>
    <t xml:space="preserve">Equipment and Infrastructure </t>
  </si>
  <si>
    <t xml:space="preserve">Administrative Costs </t>
  </si>
  <si>
    <t xml:space="preserve">Total Investment </t>
  </si>
  <si>
    <t xml:space="preserve">Participants </t>
  </si>
  <si>
    <t xml:space="preserve">Cost per Participant </t>
  </si>
  <si>
    <t>% of costs</t>
  </si>
  <si>
    <t>costs</t>
  </si>
  <si>
    <t>includes M&amp;E and Admin</t>
  </si>
  <si>
    <t>Total Cost</t>
  </si>
  <si>
    <t>LB FASE I - Hortalizas</t>
  </si>
  <si>
    <t>Area Sown</t>
  </si>
  <si>
    <t>Net Income</t>
  </si>
  <si>
    <t>Wages</t>
  </si>
  <si>
    <t>LB FASE I - Frutales</t>
  </si>
  <si>
    <t>Area Sown (ha)</t>
  </si>
  <si>
    <t>Jornales</t>
  </si>
  <si>
    <t>LB FASE II - FIP&amp;FADEP</t>
  </si>
  <si>
    <t>cost</t>
  </si>
  <si>
    <t>obs</t>
  </si>
  <si>
    <t>mean</t>
  </si>
  <si>
    <t>bl 1 income</t>
  </si>
  <si>
    <t>bl 2 inputed</t>
  </si>
  <si>
    <t>weighted average</t>
  </si>
  <si>
    <t>Project Description</t>
  </si>
  <si>
    <t>The Productive Development Project will assist with the development of profitable and sustainable productive business ventures, with a primary focus on assisting poor farmers shift to the cultivation of high-value crops, forestry, and animal products. Business development support for micro, small and medium enterprises in other sectors, including tourism and artisanry, will also be provided.</t>
  </si>
  <si>
    <t>Components</t>
  </si>
  <si>
    <t xml:space="preserve">     Due diligence analysis performed on five value chains concluded that income per hectare could rise with investments in sectors such as horticulture, fruits, and forestry. However, investments in non-agricultural value chains are not precluded. Implementation mechanisms are flexible enough to accommodate sector differences. Pre-investment studies funded under the Production and Business Services Activity will include a range of possible economic activities. Identified as promising are the dairy, tourism and handicrafts sectors, for example.</t>
  </si>
  <si>
    <t xml:space="preserve">     Pre-investment study findings and recommendations will be presented to an independent investment committee to oversee and guide the use of resources within the Production and Business Services and Investment Support Activities. The committee, established by and responsible to FOMILENIO, will be comprised of representatives agreed to by MCC, FOMILENIO and Banco Multisectorial de Inversiones.</t>
  </si>
  <si>
    <t>Economic Rationale</t>
  </si>
  <si>
    <t>FOMILENIO = Fondo del Milenio, the entity accountable for implementing the program that was created through ratification of 
     the Compact by El Salvador's Legislative Assembly</t>
  </si>
  <si>
    <t>Date</t>
  </si>
  <si>
    <t>Amount of MCC funds</t>
  </si>
  <si>
    <t>One should read this sheet first, as it offers a summary of the project, a list of components, and states the economic rationale for the project.</t>
  </si>
  <si>
    <t>ERR &amp; Sensitivity Analysis</t>
  </si>
  <si>
    <t>A brief summary of the project's key parameters and ERR calculations.</t>
  </si>
  <si>
    <t>Original ERR</t>
  </si>
  <si>
    <t>None</t>
  </si>
  <si>
    <t>MCC Estimated ERRs:</t>
  </si>
  <si>
    <t>Original</t>
  </si>
  <si>
    <t>Closeout</t>
  </si>
  <si>
    <t>Closeout ERR</t>
  </si>
  <si>
    <t>Profits and cost savings due to utilizing improved techniques.</t>
  </si>
  <si>
    <t>Wages for new employees as businesses expand.</t>
  </si>
  <si>
    <t>This sheet compares the annual benefits of increased income with the costs of each potential project and combines all components for a final ERR</t>
  </si>
  <si>
    <t>This sheet breaks down costs by year and activity with the PDP project</t>
  </si>
  <si>
    <t>Include Dairy</t>
  </si>
  <si>
    <t>Include Handicraft</t>
  </si>
  <si>
    <t>0, 1</t>
  </si>
  <si>
    <t>Include Horticulture</t>
  </si>
  <si>
    <t>Horticulture, Benefits as % of annual income</t>
  </si>
  <si>
    <t>5-25%</t>
  </si>
  <si>
    <t>$87.5 million</t>
  </si>
  <si>
    <t>Last updated:  9/1/2012</t>
  </si>
  <si>
    <t xml:space="preserve">     The economic returns in the simulations are driven by the conclusion that there are substantially more valuable uses of the land than the currently practiced cultivation of basic grains.  This model analyzes the impact of training on productivity in the horticulture, dairy, and artisan product lines. </t>
  </si>
  <si>
    <t>An impact evaluation was constructed and implemented to analyze how the training affected income for the farmers and artisans who participated.  This model computes the cost-benefit analysis based on the impact evaluations results.</t>
  </si>
  <si>
    <t>% of total costs</t>
  </si>
  <si>
    <t>Inflation</t>
  </si>
  <si>
    <t>CPI 2007=100</t>
  </si>
  <si>
    <t>ERR Version</t>
  </si>
  <si>
    <t>Date of ERR</t>
  </si>
  <si>
    <t>Benefit streams included in ERR</t>
  </si>
  <si>
    <t>Costs included in ERR (not borne by MCC)</t>
  </si>
  <si>
    <t>ERR estimations and time horizon</t>
  </si>
  <si>
    <t xml:space="preserve">The Productive Development Project will assist with the development of profitable and sustainable productive business ventures, with a primary focus on assisting poor farmers shift to the cultivation of high-value crops, forestry, and animal products. Business development support for micro, small and medium enterprises in other sectors, including tourism and artisanry, will also be provided. It is organized into three activities: </t>
  </si>
  <si>
    <t>Beneficiary counterpart contribution. Examples include a percentage of the cost of installing a processing plant, on-going operations cost of the processing plant, irrigation equipment, plants, etc.</t>
  </si>
  <si>
    <r>
      <t xml:space="preserve">a.  Production and Business Services </t>
    </r>
    <r>
      <rPr>
        <sz val="10"/>
        <rFont val="Arial"/>
        <family val="2"/>
      </rPr>
      <t>will provide technical assistance to poor farmers to shift to high-value agricultural production and forestry strategies and to provide preinvestment studies and technical assistance for the development and implementation of business plans.</t>
    </r>
  </si>
  <si>
    <t>(1) Forestry - Increase in net income from planting trees on land currently cultivated with basic grains</t>
  </si>
  <si>
    <t>(2) Fruit - Increase in net income from more hectares under fruit production and from increases in yields</t>
  </si>
  <si>
    <t>(3) Vegetables - Increase in net income from more hectares under vegetable production and from increases in yields</t>
  </si>
  <si>
    <t>(4) Dairy -    Increase in net income from improved genetic material, from increases in productivity of existing cows, and from greater processing of milk</t>
  </si>
  <si>
    <t>Overall 12.6% over 25 years</t>
  </si>
  <si>
    <r>
      <t xml:space="preserve">     Production and Business Services: </t>
    </r>
    <r>
      <rPr>
        <sz val="10"/>
        <rFont val="Arial "/>
        <family val="0"/>
      </rPr>
      <t>To provide technical assistance to poor farmers to shift to high-value agricultural 
          production and forestry strategies and to provide preinvestment studies and technical assistance for the development and 
          implementation of business plans for project beneficiaries located in the Northern Zone.</t>
    </r>
  </si>
  <si>
    <r>
      <t xml:space="preserve">     Investment Support: </t>
    </r>
    <r>
      <rPr>
        <sz val="10"/>
        <rFont val="Arial "/>
        <family val="0"/>
      </rPr>
      <t>To provide investment capital to competitively selected applicants for business activities located in and 
          benefiting poor inhabitants of the Northern Zone.</t>
    </r>
  </si>
  <si>
    <r>
      <t xml:space="preserve">     Financial Services</t>
    </r>
    <r>
      <rPr>
        <sz val="10"/>
        <color indexed="8"/>
        <rFont val="Arial "/>
        <family val="0"/>
      </rPr>
      <t>: To provide financial enhancements to support increased lending activity of banks and non-bank financial 
          institutions in the Northern Zone.</t>
    </r>
  </si>
  <si>
    <t>Table of Contents</t>
  </si>
  <si>
    <t>Cost-Benefit Summary</t>
  </si>
  <si>
    <t>User's Guide</t>
  </si>
  <si>
    <t>All specific parameters set to initial values?</t>
  </si>
  <si>
    <t>Projection</t>
  </si>
  <si>
    <t>25 years</t>
  </si>
  <si>
    <t>Cost/Benefit Summary</t>
  </si>
  <si>
    <t>Cost Scenario</t>
  </si>
  <si>
    <t>Benefit Scenario</t>
  </si>
  <si>
    <t>1 include, 0 omit</t>
  </si>
  <si>
    <t>Present Value (PV) of Benefits:</t>
  </si>
  <si>
    <t>Present Value (PV) of MCC Costs:</t>
  </si>
  <si>
    <t>Cost Assumptions</t>
  </si>
  <si>
    <t>Costs of the PBS Activity, USD</t>
  </si>
  <si>
    <t>Total Benefits (2007 USD)</t>
  </si>
  <si>
    <t>Total Costs (2007 USD)</t>
  </si>
  <si>
    <t>Inflation Rate 2014</t>
  </si>
  <si>
    <t xml:space="preserve">Inflation </t>
  </si>
  <si>
    <t>Net Benefits (2007 USD)</t>
  </si>
  <si>
    <t>2007 USD, 10% discount rate</t>
  </si>
  <si>
    <t>Poverty Scorecard</t>
  </si>
  <si>
    <t>El Salvador</t>
  </si>
  <si>
    <r>
      <t xml:space="preserve">MCC Cost </t>
    </r>
    <r>
      <rPr>
        <b/>
        <sz val="8"/>
        <rFont val="Arial"/>
        <family val="2"/>
      </rPr>
      <t>(Millions USD)</t>
    </r>
  </si>
  <si>
    <t>20-Year ERR</t>
  </si>
  <si>
    <r>
      <t xml:space="preserve">Present Value </t>
    </r>
    <r>
      <rPr>
        <b/>
        <sz val="8"/>
        <rFont val="Arial"/>
        <family val="2"/>
      </rPr>
      <t>(PV)</t>
    </r>
    <r>
      <rPr>
        <b/>
        <sz val="9"/>
        <rFont val="Arial"/>
        <family val="2"/>
      </rPr>
      <t xml:space="preserve"> of Benefit Stream </t>
    </r>
    <r>
      <rPr>
        <b/>
        <sz val="8"/>
        <rFont val="Arial"/>
        <family val="2"/>
      </rPr>
      <t>(Millions USD)</t>
    </r>
  </si>
  <si>
    <r>
      <t>Present Value (PV) of All Costs (</t>
    </r>
    <r>
      <rPr>
        <b/>
        <sz val="8"/>
        <rFont val="Arial"/>
        <family val="2"/>
      </rPr>
      <t>Millions 2005 PPP $</t>
    </r>
    <r>
      <rPr>
        <b/>
        <sz val="9"/>
        <rFont val="Arial"/>
        <family val="2"/>
      </rPr>
      <t>)</t>
    </r>
  </si>
  <si>
    <t>Consumption per day (PPP $)</t>
  </si>
  <si>
    <t>Beneficiaries</t>
  </si>
  <si>
    <t>Total</t>
  </si>
  <si>
    <t>&lt; $1.25</t>
  </si>
  <si>
    <r>
      <t xml:space="preserve">&lt; $2 </t>
    </r>
    <r>
      <rPr>
        <vertAlign val="superscript"/>
        <sz val="9"/>
        <rFont val="Arial"/>
        <family val="2"/>
      </rPr>
      <t>1</t>
    </r>
    <r>
      <rPr>
        <sz val="9"/>
        <rFont val="Arial"/>
        <family val="2"/>
      </rPr>
      <t xml:space="preserve"> </t>
    </r>
  </si>
  <si>
    <t>$2-$4</t>
  </si>
  <si>
    <t>&gt; $4</t>
  </si>
  <si>
    <r>
      <t xml:space="preserve">Beneficiary Households in Year 20 </t>
    </r>
    <r>
      <rPr>
        <sz val="8"/>
        <rFont val="Arial"/>
        <family val="2"/>
      </rPr>
      <t>(#)</t>
    </r>
  </si>
  <si>
    <r>
      <t xml:space="preserve">Beneficiary Individuals in Year 20 </t>
    </r>
    <r>
      <rPr>
        <sz val="8"/>
        <rFont val="Arial"/>
        <family val="2"/>
      </rPr>
      <t>(#)</t>
    </r>
  </si>
  <si>
    <r>
      <t xml:space="preserve">National Population in Year 20 </t>
    </r>
    <r>
      <rPr>
        <vertAlign val="superscript"/>
        <sz val="9"/>
        <rFont val="Arial"/>
        <family val="2"/>
      </rPr>
      <t>2</t>
    </r>
    <r>
      <rPr>
        <sz val="9"/>
        <rFont val="Arial"/>
        <family val="2"/>
      </rPr>
      <t xml:space="preserve"> </t>
    </r>
    <r>
      <rPr>
        <sz val="8"/>
        <rFont val="Arial"/>
        <family val="2"/>
      </rPr>
      <t>(#)</t>
    </r>
  </si>
  <si>
    <r>
      <t xml:space="preserve">Beneficiary Population by Poverty Level </t>
    </r>
    <r>
      <rPr>
        <sz val="8"/>
        <rFont val="Arial"/>
        <family val="2"/>
      </rPr>
      <t xml:space="preserve">(%) </t>
    </r>
    <r>
      <rPr>
        <vertAlign val="superscript"/>
        <sz val="8"/>
        <rFont val="Arial"/>
        <family val="2"/>
      </rPr>
      <t>3</t>
    </r>
  </si>
  <si>
    <r>
      <t xml:space="preserve">National Population by Poverty Level </t>
    </r>
    <r>
      <rPr>
        <vertAlign val="superscript"/>
        <sz val="9"/>
        <rFont val="Arial"/>
        <family val="2"/>
      </rPr>
      <t>4</t>
    </r>
    <r>
      <rPr>
        <sz val="9"/>
        <rFont val="Arial"/>
        <family val="2"/>
      </rPr>
      <t xml:space="preserve"> </t>
    </r>
    <r>
      <rPr>
        <sz val="8"/>
        <rFont val="Arial"/>
        <family val="2"/>
      </rPr>
      <t>(%)</t>
    </r>
  </si>
  <si>
    <t>The Magnitude of the Benefits</t>
  </si>
  <si>
    <r>
      <t xml:space="preserve">PV of Benefit Stream Per Beneficiary </t>
    </r>
    <r>
      <rPr>
        <sz val="8"/>
        <rFont val="Arial"/>
        <family val="2"/>
      </rPr>
      <t xml:space="preserve">(USD) </t>
    </r>
  </si>
  <si>
    <r>
      <t>PV of Benefit Stream as Share of Annual Income</t>
    </r>
    <r>
      <rPr>
        <sz val="8"/>
        <rFont val="Arial"/>
        <family val="2"/>
      </rPr>
      <t xml:space="preserve"> (%)</t>
    </r>
  </si>
  <si>
    <t>Cost Effectiveness</t>
  </si>
  <si>
    <r>
      <t xml:space="preserve">PV of Benefit Stream/Project Dollar </t>
    </r>
    <r>
      <rPr>
        <sz val="8"/>
        <rFont val="Arial"/>
        <family val="2"/>
      </rPr>
      <t>(USD/USD)</t>
    </r>
  </si>
  <si>
    <r>
      <t xml:space="preserve">GNI per capita </t>
    </r>
    <r>
      <rPr>
        <vertAlign val="superscript"/>
        <sz val="9"/>
        <rFont val="Arial"/>
        <family val="2"/>
      </rPr>
      <t xml:space="preserve">5 </t>
    </r>
    <r>
      <rPr>
        <sz val="9"/>
        <rFont val="Arial"/>
        <family val="2"/>
      </rPr>
      <t>(USD)</t>
    </r>
  </si>
  <si>
    <t>Current National Population</t>
  </si>
  <si>
    <t>NB: all benefits incremental; PVs based on 10% discount rate and exclude MCC costs but net out any local costs</t>
  </si>
  <si>
    <r>
      <t xml:space="preserve">1    </t>
    </r>
    <r>
      <rPr>
        <sz val="8"/>
        <rFont val="Arial"/>
        <family val="2"/>
      </rPr>
      <t>The beneficiaries and population living on less than $2 per day include those under $1.25 per day</t>
    </r>
  </si>
  <si>
    <r>
      <t xml:space="preserve">2    </t>
    </r>
    <r>
      <rPr>
        <sz val="8"/>
        <rFont val="Arial"/>
        <family val="2"/>
      </rPr>
      <t>Based on estimated 2009 population (CIA World Factbook), projected to Year 20</t>
    </r>
  </si>
  <si>
    <r>
      <t xml:space="preserve">3,4 </t>
    </r>
    <r>
      <rPr>
        <sz val="8"/>
        <rFont val="Arial"/>
        <family val="2"/>
      </rPr>
      <t>Based on National income distribution figures from ESPS 2005-2006 data</t>
    </r>
  </si>
  <si>
    <r>
      <t xml:space="preserve">5   </t>
    </r>
    <r>
      <rPr>
        <sz val="8"/>
        <rFont val="Arial"/>
        <family val="2"/>
      </rPr>
      <t>See MCC 2009 Scorecard</t>
    </r>
  </si>
  <si>
    <t>This worksheet shows the cost effectiveness of the project broken out into different poverty categories.</t>
  </si>
  <si>
    <t>10% discount rate</t>
  </si>
  <si>
    <t>NPV, Benefits (2007 USD)</t>
  </si>
  <si>
    <t>NPV, Costs (2007 USD)</t>
  </si>
  <si>
    <t>NPV, Net Benefits (2007 USD)</t>
  </si>
  <si>
    <t>Total Benefits (2012 USD)</t>
  </si>
  <si>
    <t>Total Costs (2012 USD)</t>
  </si>
  <si>
    <t>26% over 20 years</t>
  </si>
  <si>
    <t>Notes</t>
  </si>
  <si>
    <r>
      <t xml:space="preserve">a.  Production and Business Services </t>
    </r>
    <r>
      <rPr>
        <sz val="10"/>
        <color indexed="23"/>
        <rFont val="Arial"/>
        <family val="2"/>
      </rPr>
      <t>will provide technical assistance to poor farmers to shift to high-value agricultural production and forestry strategies and to provide preinvestment studies and technical assistance for the development and implementation of business plans.</t>
    </r>
  </si>
  <si>
    <r>
      <t>b.  Investment Support</t>
    </r>
    <r>
      <rPr>
        <sz val="10"/>
        <color indexed="23"/>
        <rFont val="Arial"/>
        <family val="2"/>
      </rPr>
      <t xml:space="preserve"> will provide investment capital to competitively selected applicants for business activities.</t>
    </r>
  </si>
  <si>
    <r>
      <t xml:space="preserve">c.   </t>
    </r>
    <r>
      <rPr>
        <i/>
        <sz val="10"/>
        <color indexed="23"/>
        <rFont val="Arial"/>
        <family val="2"/>
      </rPr>
      <t>Financial Services</t>
    </r>
    <r>
      <rPr>
        <sz val="10"/>
        <color indexed="23"/>
        <rFont val="Arial"/>
        <family val="2"/>
      </rPr>
      <t xml:space="preserve"> will provide financial enhancements to support increased lending activity by banks and non-bank financial institutions in the Northern Zone.</t>
    </r>
  </si>
  <si>
    <t>El Salvador: Productive Development: Business Services</t>
  </si>
  <si>
    <t>$55.8 million</t>
  </si>
  <si>
    <t>El Salvador: Productive Development Business Services</t>
  </si>
  <si>
    <t>MCC Funding will support the following Project Activities, of which the ERR analyzes the Business Services Activity:</t>
  </si>
  <si>
    <t>El Salvador: Productive Development Business Services Activity</t>
  </si>
  <si>
    <t>Impact Evaluation Survey Data was gathered for the Dairy, Horticulture, and Handicraft investments.  The closeout ERR did not attempt to analyze investments that MCC did not gather Impact Evaluation data for.</t>
  </si>
  <si>
    <r>
      <t>b.  Investment Support</t>
    </r>
    <r>
      <rPr>
        <sz val="10"/>
        <rFont val="Arial"/>
        <family val="2"/>
      </rPr>
      <t xml:space="preserve"> will provide investment capital to competitively selected applicants for business activities.</t>
    </r>
  </si>
  <si>
    <r>
      <t xml:space="preserve">c.   </t>
    </r>
    <r>
      <rPr>
        <i/>
        <sz val="10"/>
        <rFont val="Arial"/>
        <family val="2"/>
      </rPr>
      <t>Financial Services</t>
    </r>
    <r>
      <rPr>
        <sz val="10"/>
        <rFont val="Arial"/>
        <family val="2"/>
      </rPr>
      <t xml:space="preserve"> will provide financial enhancements to support increased lending activity by banks and non-bank financial institutions in the Northern Zone.</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</si>
</sst>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0.0"/>
    <numFmt numFmtId="168" formatCode="_(* #,##0_);_(* \(#,##0\);_(* &quot;-&quot;??_);_(@_)"/>
    <numFmt numFmtId="169" formatCode="[$$-440A]#,##0.00"/>
    <numFmt numFmtId="170" formatCode="_-* #,##0.00\ &quot;€&quot;_-;\-* #,##0.00\ &quot;€&quot;_-;_-* &quot;-&quot;??\ &quot;€&quot;_-;_-@_-"/>
    <numFmt numFmtId="171" formatCode="_-* #,##0.00\ _€_-;\-* #,##0.00\ _€_-;_-* &quot;-&quot;??\ _€_-;_-@_-"/>
    <numFmt numFmtId="172" formatCode="_(&quot;$&quot;* #,##0_);_(&quot;$&quot;* \(#,##0\);_(&quot;$&quot;* &quot;-&quot;??_);_(@_)"/>
    <numFmt numFmtId="173" formatCode="_(&quot;$&quot;* #,##0.0_);_(&quot;$&quot;* \(#,##0.0\);_(&quot;$&quot;* &quot;-&quot;??_);_(@_)"/>
    <numFmt numFmtId="174" formatCode="0.0,,"/>
  </numFmts>
  <fonts count="104">
    <font>
      <sz val="11"/>
      <color theme="1"/>
      <name val="Calibri"/>
      <family val="2"/>
    </font>
    <font>
      <sz val="11"/>
      <color indexed="8"/>
      <name val="Calibri"/>
      <family val="2"/>
    </font>
    <font>
      <b/>
      <sz val="11"/>
      <color indexed="8"/>
      <name val="Calibri"/>
      <family val="2"/>
    </font>
    <font>
      <sz val="11"/>
      <color indexed="9"/>
      <name val="Calibri"/>
      <family val="2"/>
    </font>
    <font>
      <sz val="10"/>
      <name val="Arial"/>
      <family val="2"/>
    </font>
    <font>
      <b/>
      <sz val="10"/>
      <name val="Arial"/>
      <family val="2"/>
    </font>
    <font>
      <b/>
      <sz val="10"/>
      <color indexed="12"/>
      <name val="Arial"/>
      <family val="2"/>
    </font>
    <font>
      <b/>
      <sz val="16"/>
      <name val="Arial"/>
      <family val="2"/>
    </font>
    <font>
      <b/>
      <sz val="18"/>
      <color indexed="32"/>
      <name val="Arial"/>
      <family val="2"/>
    </font>
    <font>
      <sz val="8"/>
      <color indexed="17"/>
      <name val="Arial"/>
      <family val="2"/>
    </font>
    <font>
      <sz val="14"/>
      <name val="Arial"/>
      <family val="2"/>
    </font>
    <font>
      <sz val="8"/>
      <color indexed="10"/>
      <name val="Arial"/>
      <family val="2"/>
    </font>
    <font>
      <sz val="10"/>
      <color indexed="12"/>
      <name val="Arial"/>
      <family val="2"/>
    </font>
    <font>
      <b/>
      <sz val="12"/>
      <name val="Arial"/>
      <family val="2"/>
    </font>
    <font>
      <sz val="10"/>
      <color indexed="23"/>
      <name val="Arial"/>
      <family val="2"/>
    </font>
    <font>
      <b/>
      <sz val="10"/>
      <color indexed="55"/>
      <name val="Arial"/>
      <family val="2"/>
    </font>
    <font>
      <b/>
      <sz val="10"/>
      <color indexed="10"/>
      <name val="Arial"/>
      <family val="2"/>
    </font>
    <font>
      <sz val="10"/>
      <color indexed="10"/>
      <name val="Arial"/>
      <family val="2"/>
    </font>
    <font>
      <u val="single"/>
      <sz val="10"/>
      <color indexed="12"/>
      <name val="Arial"/>
      <family val="2"/>
    </font>
    <font>
      <b/>
      <sz val="10"/>
      <color indexed="9"/>
      <name val="Arial"/>
      <family val="2"/>
    </font>
    <font>
      <sz val="8"/>
      <color indexed="8"/>
      <name val="Calibri"/>
      <family val="2"/>
    </font>
    <font>
      <i/>
      <sz val="10"/>
      <name val="Arial"/>
      <family val="2"/>
    </font>
    <font>
      <sz val="10"/>
      <color indexed="55"/>
      <name val="Arial"/>
      <family val="2"/>
    </font>
    <font>
      <sz val="10"/>
      <color indexed="8"/>
      <name val="Arial"/>
      <family val="2"/>
    </font>
    <font>
      <sz val="10"/>
      <color indexed="9"/>
      <name val="Arial"/>
      <family val="2"/>
    </font>
    <font>
      <b/>
      <sz val="10"/>
      <color indexed="23"/>
      <name val="Arial"/>
      <family val="2"/>
    </font>
    <font>
      <b/>
      <sz val="10"/>
      <name val="Arial "/>
      <family val="0"/>
    </font>
    <font>
      <sz val="10"/>
      <name val="Arial "/>
      <family val="0"/>
    </font>
    <font>
      <i/>
      <sz val="10"/>
      <name val="Arial "/>
      <family val="0"/>
    </font>
    <font>
      <sz val="10"/>
      <color indexed="8"/>
      <name val="Arial "/>
      <family val="0"/>
    </font>
    <font>
      <b/>
      <sz val="11"/>
      <color indexed="17"/>
      <name val="Calibri"/>
      <family val="2"/>
    </font>
    <font>
      <sz val="11"/>
      <color indexed="17"/>
      <name val="Calibri"/>
      <family val="2"/>
    </font>
    <font>
      <b/>
      <sz val="8"/>
      <color indexed="8"/>
      <name val="Lucida Sans"/>
      <family val="2"/>
    </font>
    <font>
      <b/>
      <u val="single"/>
      <sz val="11"/>
      <color indexed="8"/>
      <name val="Calibri"/>
      <family val="2"/>
    </font>
    <font>
      <u val="single"/>
      <sz val="10"/>
      <color indexed="55"/>
      <name val="Arial"/>
      <family val="2"/>
    </font>
    <font>
      <b/>
      <u val="single"/>
      <sz val="10"/>
      <color indexed="55"/>
      <name val="Arial"/>
      <family val="2"/>
    </font>
    <font>
      <i/>
      <sz val="10"/>
      <color indexed="55"/>
      <name val="Arial"/>
      <family val="2"/>
    </font>
    <font>
      <b/>
      <sz val="12"/>
      <color indexed="12"/>
      <name val="Arial"/>
      <family val="2"/>
    </font>
    <font>
      <sz val="10"/>
      <color indexed="42"/>
      <name val="Arial"/>
      <family val="2"/>
    </font>
    <font>
      <b/>
      <sz val="11"/>
      <name val="Arial"/>
      <family val="2"/>
    </font>
    <font>
      <sz val="9"/>
      <name val="Arial"/>
      <family val="2"/>
    </font>
    <font>
      <b/>
      <sz val="9"/>
      <name val="Arial"/>
      <family val="2"/>
    </font>
    <font>
      <b/>
      <sz val="8"/>
      <name val="Arial"/>
      <family val="2"/>
    </font>
    <font>
      <vertAlign val="superscript"/>
      <sz val="9"/>
      <name val="Arial"/>
      <family val="2"/>
    </font>
    <font>
      <sz val="8"/>
      <name val="Arial"/>
      <family val="2"/>
    </font>
    <font>
      <vertAlign val="superscript"/>
      <sz val="8"/>
      <name val="Arial"/>
      <family val="2"/>
    </font>
    <font>
      <sz val="9"/>
      <color indexed="12"/>
      <name val="Arial"/>
      <family val="2"/>
    </font>
    <font>
      <sz val="12"/>
      <name val="Times New Roman"/>
      <family val="1"/>
    </font>
    <font>
      <i/>
      <sz val="11"/>
      <color indexed="8"/>
      <name val="Calibri"/>
      <family val="2"/>
    </font>
    <font>
      <i/>
      <sz val="10"/>
      <color indexed="23"/>
      <name val="Arial"/>
      <family val="2"/>
    </font>
    <font>
      <b/>
      <sz val="10"/>
      <color indexed="8"/>
      <name val="Arial "/>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0"/>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family val="2"/>
    </font>
    <font>
      <sz val="10"/>
      <color rgb="FFFF0000"/>
      <name val="Arial"/>
      <family val="2"/>
    </font>
    <font>
      <b/>
      <sz val="10"/>
      <color theme="0" tint="-0.3499799966812134"/>
      <name val="Arial"/>
      <family val="2"/>
    </font>
    <font>
      <sz val="10"/>
      <color theme="0" tint="-0.3499799966812134"/>
      <name val="Arial"/>
      <family val="2"/>
    </font>
    <font>
      <b/>
      <sz val="10"/>
      <color rgb="FFFF0000"/>
      <name val="Arial"/>
      <family val="2"/>
    </font>
    <font>
      <sz val="10"/>
      <color theme="0"/>
      <name val="Arial"/>
      <family val="2"/>
    </font>
    <font>
      <b/>
      <sz val="10"/>
      <color theme="0" tint="-0.4999699890613556"/>
      <name val="Arial"/>
      <family val="2"/>
    </font>
    <font>
      <sz val="10"/>
      <color theme="1"/>
      <name val="Arial "/>
      <family val="0"/>
    </font>
    <font>
      <sz val="8"/>
      <color theme="6" tint="-0.4999699890613556"/>
      <name val="Arial"/>
      <family val="2"/>
    </font>
    <font>
      <b/>
      <sz val="11"/>
      <color theme="6" tint="-0.4999699890613556"/>
      <name val="Calibri"/>
      <family val="2"/>
    </font>
    <font>
      <sz val="11"/>
      <color theme="6" tint="-0.4999699890613556"/>
      <name val="Calibri"/>
      <family val="2"/>
    </font>
    <font>
      <b/>
      <u val="single"/>
      <sz val="11"/>
      <color theme="1"/>
      <name val="Calibri"/>
      <family val="2"/>
    </font>
    <font>
      <b/>
      <sz val="8"/>
      <color rgb="FF000000"/>
      <name val="Lucida Sans"/>
      <family val="2"/>
    </font>
    <font>
      <b/>
      <u val="single"/>
      <sz val="10"/>
      <color theme="0" tint="-0.3499799966812134"/>
      <name val="Arial"/>
      <family val="2"/>
    </font>
    <font>
      <u val="single"/>
      <sz val="10"/>
      <color theme="0" tint="-0.3499799966812134"/>
      <name val="Arial"/>
      <family val="2"/>
    </font>
    <font>
      <i/>
      <sz val="10"/>
      <color theme="0" tint="-0.3499799966812134"/>
      <name val="Arial"/>
      <family val="2"/>
    </font>
    <font>
      <i/>
      <sz val="11"/>
      <color theme="1"/>
      <name val="Calibri"/>
      <family val="2"/>
    </font>
    <font>
      <sz val="10"/>
      <color theme="0" tint="-0.4999699890613556"/>
      <name val="Arial"/>
      <family val="2"/>
    </font>
    <font>
      <i/>
      <sz val="10"/>
      <color theme="0" tint="-0.4999699890613556"/>
      <name val="Arial"/>
      <family val="2"/>
    </font>
    <font>
      <b/>
      <sz val="10"/>
      <color theme="1"/>
      <name val="Arial "/>
      <family val="0"/>
    </font>
    <font>
      <sz val="10"/>
      <color theme="1"/>
      <name val="Arial"/>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style="thin"/>
      <right style="thin"/>
      <top style="thin"/>
      <bottom style="medium"/>
    </border>
    <border>
      <left style="thin"/>
      <right style="thin"/>
      <top style="thin"/>
      <bottom/>
    </border>
    <border>
      <left style="thin"/>
      <right style="thin"/>
      <top/>
      <bottom/>
    </border>
    <border>
      <left/>
      <right/>
      <top style="thin"/>
      <bottom/>
    </border>
    <border>
      <left style="thin"/>
      <right style="thin"/>
      <top/>
      <bottom style="thin"/>
    </border>
    <border>
      <left style="thin"/>
      <right style="double"/>
      <top style="thin"/>
      <bottom style="thin"/>
    </border>
    <border>
      <left/>
      <right style="thin"/>
      <top/>
      <bottom style="thin"/>
    </border>
    <border>
      <left/>
      <right style="thin"/>
      <top style="thin"/>
      <bottom/>
    </border>
    <border>
      <left style="thin">
        <color theme="0" tint="-0.3499799966812134"/>
      </left>
      <right/>
      <top/>
      <bottom/>
    </border>
    <border>
      <left style="double"/>
      <right style="thin"/>
      <top style="double"/>
      <bottom style="thin"/>
    </border>
    <border>
      <left style="double"/>
      <right style="thin"/>
      <top style="thin"/>
      <bottom style="thin"/>
    </border>
    <border>
      <left style="thin"/>
      <right style="thin"/>
      <top style="double"/>
      <bottom style="thin"/>
    </border>
    <border>
      <left style="thin"/>
      <right style="double"/>
      <top style="double"/>
      <bottom style="thin"/>
    </border>
    <border>
      <left style="thin"/>
      <right style="double"/>
      <top style="thin"/>
      <bottom/>
    </border>
    <border>
      <left style="thin"/>
      <right style="double"/>
      <top/>
      <bottom/>
    </border>
    <border>
      <left style="thin"/>
      <right style="double"/>
      <top/>
      <bottom style="double"/>
    </border>
    <border>
      <left style="double"/>
      <right style="thin"/>
      <top style="thin"/>
      <bottom/>
    </border>
    <border>
      <left style="thin"/>
      <right style="double"/>
      <top style="double"/>
      <bottom style="double"/>
    </border>
    <border>
      <left style="thin">
        <color theme="0" tint="-0.3499799966812134"/>
      </left>
      <right/>
      <top/>
      <bottom style="thin">
        <color theme="0" tint="-0.3499799966812134"/>
      </bottom>
    </border>
    <border>
      <left/>
      <right/>
      <top style="thin">
        <color theme="0" tint="-0.3499799966812134"/>
      </top>
      <bottom/>
    </border>
    <border>
      <left style="thin"/>
      <right/>
      <top style="thin"/>
      <bottom/>
    </border>
    <border>
      <left style="thin">
        <color theme="0" tint="-0.3499799966812134"/>
      </left>
      <right/>
      <top style="thin">
        <color theme="0" tint="-0.3499799966812134"/>
      </top>
      <bottom/>
    </border>
    <border>
      <left/>
      <right style="thin">
        <color theme="0" tint="-0.3499799966812134"/>
      </right>
      <top style="thin">
        <color theme="0" tint="-0.3499799966812134"/>
      </top>
      <bottom/>
    </border>
    <border>
      <left/>
      <right style="thin">
        <color theme="0" tint="-0.3499799966812134"/>
      </right>
      <top/>
      <bottom/>
    </border>
    <border>
      <left/>
      <right/>
      <top/>
      <bottom style="thin">
        <color theme="0" tint="-0.3499799966812134"/>
      </bottom>
    </border>
    <border>
      <left/>
      <right style="thin">
        <color theme="0" tint="-0.3499799966812134"/>
      </right>
      <top/>
      <bottom style="thin">
        <color theme="0" tint="-0.3499799966812134"/>
      </bottom>
    </border>
    <border>
      <left style="medium">
        <color indexed="12"/>
      </left>
      <right/>
      <top style="medium">
        <color indexed="12"/>
      </top>
      <bottom/>
    </border>
    <border>
      <left/>
      <right/>
      <top style="medium">
        <color indexed="12"/>
      </top>
      <bottom/>
    </border>
    <border>
      <left/>
      <right style="medium">
        <color indexed="12"/>
      </right>
      <top style="medium">
        <color indexed="12"/>
      </top>
      <bottom/>
    </border>
    <border>
      <left style="medium">
        <color indexed="12"/>
      </left>
      <right/>
      <top/>
      <bottom/>
    </border>
    <border>
      <left/>
      <right style="medium">
        <color indexed="12"/>
      </right>
      <top/>
      <bottom/>
    </border>
    <border>
      <left/>
      <right/>
      <top/>
      <bottom style="thin">
        <color indexed="39"/>
      </bottom>
    </border>
    <border>
      <left/>
      <right/>
      <top style="thin">
        <color indexed="39"/>
      </top>
      <bottom/>
    </border>
    <border>
      <left/>
      <right/>
      <top/>
      <bottom style="thin">
        <color indexed="12"/>
      </bottom>
    </border>
    <border>
      <left/>
      <right/>
      <top style="thin">
        <color indexed="12"/>
      </top>
      <bottom/>
    </border>
    <border>
      <left style="medium">
        <color indexed="12"/>
      </left>
      <right/>
      <top/>
      <bottom style="medium">
        <color indexed="12"/>
      </bottom>
    </border>
    <border>
      <left/>
      <right/>
      <top/>
      <bottom style="medium">
        <color indexed="12"/>
      </bottom>
    </border>
    <border>
      <left/>
      <right style="medium">
        <color indexed="12"/>
      </right>
      <top/>
      <bottom style="medium">
        <color indexed="12"/>
      </bottom>
    </border>
    <border>
      <left style="double"/>
      <right style="thin"/>
      <top style="double"/>
      <bottom style="double"/>
    </border>
    <border>
      <left style="double"/>
      <right style="thin"/>
      <top/>
      <bottom/>
    </border>
    <border>
      <left style="double"/>
      <right style="thin"/>
      <top/>
      <bottom style="double"/>
    </border>
    <border>
      <left style="double"/>
      <right style="thin"/>
      <top style="double"/>
      <bottom/>
    </border>
    <border>
      <left style="double"/>
      <right style="double"/>
      <top/>
      <bottom/>
    </border>
    <border>
      <left style="double"/>
      <right style="double"/>
      <top/>
      <bottom style="thin"/>
    </border>
    <border>
      <left style="double"/>
      <right style="double"/>
      <top style="double"/>
      <bottom/>
    </border>
    <border>
      <left style="thin"/>
      <right style="thin"/>
      <top/>
      <bottom style="medium"/>
    </border>
    <border>
      <left style="thin"/>
      <right/>
      <top/>
      <bottom style="mediu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43" fontId="4" fillId="0" borderId="0" applyFont="0" applyFill="0" applyBorder="0" applyAlignment="0" applyProtection="0"/>
    <xf numFmtId="170" fontId="0" fillId="0" borderId="0" applyFont="0" applyFill="0" applyBorder="0" applyAlignment="0" applyProtection="0"/>
    <xf numFmtId="0" fontId="77" fillId="31" borderId="0" applyNumberFormat="0" applyBorder="0" applyAlignment="0" applyProtection="0"/>
    <xf numFmtId="0" fontId="4" fillId="0" borderId="0">
      <alignment/>
      <protection/>
    </xf>
    <xf numFmtId="0" fontId="4" fillId="0" borderId="0" applyFont="0" applyFill="0" applyBorder="0" applyAlignment="0" applyProtection="0"/>
    <xf numFmtId="0" fontId="4" fillId="0" borderId="0" applyFont="0" applyFill="0" applyBorder="0" applyAlignment="0" applyProtection="0"/>
    <xf numFmtId="0" fontId="23" fillId="0" borderId="0">
      <alignment/>
      <protection/>
    </xf>
    <xf numFmtId="0" fontId="4" fillId="0" borderId="0">
      <alignment/>
      <protection/>
    </xf>
    <xf numFmtId="0" fontId="47"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26">
    <xf numFmtId="0" fontId="0" fillId="0" borderId="0" xfId="0" applyFont="1" applyAlignment="1">
      <alignment/>
    </xf>
    <xf numFmtId="164" fontId="0" fillId="0" borderId="0" xfId="0" applyNumberFormat="1" applyAlignment="1">
      <alignment/>
    </xf>
    <xf numFmtId="0" fontId="4" fillId="0" borderId="10" xfId="0" applyFont="1"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164" fontId="0" fillId="0" borderId="10" xfId="0" applyNumberFormat="1" applyBorder="1" applyAlignment="1">
      <alignment/>
    </xf>
    <xf numFmtId="165" fontId="0" fillId="0" borderId="0" xfId="0" applyNumberFormat="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Border="1" applyAlignment="1">
      <alignment/>
    </xf>
    <xf numFmtId="165" fontId="0" fillId="0" borderId="0" xfId="0" applyNumberFormat="1" applyBorder="1" applyAlignment="1">
      <alignment/>
    </xf>
    <xf numFmtId="10" fontId="0" fillId="0" borderId="0" xfId="0" applyNumberFormat="1" applyBorder="1" applyAlignment="1">
      <alignment/>
    </xf>
    <xf numFmtId="0" fontId="0" fillId="0" borderId="14" xfId="0" applyFill="1" applyBorder="1" applyAlignment="1">
      <alignment/>
    </xf>
    <xf numFmtId="165" fontId="0" fillId="0" borderId="0" xfId="0" applyNumberFormat="1" applyFill="1" applyBorder="1" applyAlignment="1">
      <alignment/>
    </xf>
    <xf numFmtId="0" fontId="0" fillId="0" borderId="17" xfId="0" applyFill="1" applyBorder="1" applyAlignment="1">
      <alignment/>
    </xf>
    <xf numFmtId="0" fontId="80" fillId="0" borderId="0" xfId="0" applyFont="1" applyFill="1" applyBorder="1" applyAlignment="1">
      <alignment/>
    </xf>
    <xf numFmtId="10" fontId="0" fillId="0" borderId="0" xfId="0" applyNumberFormat="1" applyAlignment="1">
      <alignment/>
    </xf>
    <xf numFmtId="0" fontId="80" fillId="0" borderId="11" xfId="0" applyFont="1" applyFill="1" applyBorder="1" applyAlignment="1">
      <alignment/>
    </xf>
    <xf numFmtId="0" fontId="7" fillId="0" borderId="0" xfId="0" applyFont="1" applyBorder="1" applyAlignment="1">
      <alignment/>
    </xf>
    <xf numFmtId="0" fontId="4" fillId="0" borderId="0" xfId="0" applyFont="1" applyAlignment="1">
      <alignment/>
    </xf>
    <xf numFmtId="0" fontId="8" fillId="0" borderId="0" xfId="0" applyFont="1" applyAlignment="1">
      <alignment/>
    </xf>
    <xf numFmtId="0" fontId="4" fillId="0" borderId="0" xfId="0" applyFont="1" applyAlignment="1">
      <alignment horizontal="center"/>
    </xf>
    <xf numFmtId="0" fontId="9" fillId="0" borderId="0" xfId="0" applyFont="1" applyAlignment="1">
      <alignment horizontal="right"/>
    </xf>
    <xf numFmtId="0" fontId="10" fillId="0" borderId="0" xfId="0" applyFont="1" applyAlignment="1">
      <alignment/>
    </xf>
    <xf numFmtId="14" fontId="82" fillId="0" borderId="0" xfId="0" applyNumberFormat="1" applyFont="1" applyAlignment="1">
      <alignment horizontal="right"/>
    </xf>
    <xf numFmtId="14" fontId="82" fillId="0" borderId="0" xfId="0" applyNumberFormat="1" applyFont="1" applyAlignment="1">
      <alignment horizontal="left"/>
    </xf>
    <xf numFmtId="0" fontId="4" fillId="0" borderId="0" xfId="0" applyFont="1" applyAlignment="1">
      <alignment wrapText="1"/>
    </xf>
    <xf numFmtId="0" fontId="4" fillId="0" borderId="0" xfId="0" applyFont="1" applyAlignment="1">
      <alignment vertical="center"/>
    </xf>
    <xf numFmtId="0" fontId="6" fillId="0" borderId="18" xfId="0" applyFont="1" applyBorder="1" applyAlignment="1">
      <alignment horizontal="center" vertical="center"/>
    </xf>
    <xf numFmtId="0" fontId="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4" fillId="0" borderId="14" xfId="0" applyFont="1" applyBorder="1" applyAlignment="1">
      <alignment vertical="center"/>
    </xf>
    <xf numFmtId="0" fontId="0" fillId="0" borderId="20" xfId="0" applyBorder="1" applyAlignment="1">
      <alignment vertical="center" wrapText="1"/>
    </xf>
    <xf numFmtId="9" fontId="6" fillId="33" borderId="20" xfId="0" applyNumberFormat="1" applyFont="1" applyFill="1" applyBorder="1" applyAlignment="1">
      <alignment horizontal="center" vertical="center" wrapText="1"/>
    </xf>
    <xf numFmtId="9" fontId="4" fillId="0" borderId="20" xfId="0" applyNumberFormat="1" applyFont="1" applyBorder="1" applyAlignment="1">
      <alignment horizontal="center" vertical="center" wrapText="1"/>
    </xf>
    <xf numFmtId="0" fontId="4" fillId="0" borderId="15" xfId="0" applyFont="1" applyBorder="1" applyAlignment="1">
      <alignment horizontal="center" vertical="center" wrapText="1"/>
    </xf>
    <xf numFmtId="9" fontId="4" fillId="34" borderId="15" xfId="0" applyNumberFormat="1" applyFont="1" applyFill="1" applyBorder="1" applyAlignment="1">
      <alignment horizontal="center" vertical="center"/>
    </xf>
    <xf numFmtId="0" fontId="4" fillId="0" borderId="14" xfId="0" applyFont="1" applyFill="1" applyBorder="1" applyAlignment="1">
      <alignment vertical="center"/>
    </xf>
    <xf numFmtId="0" fontId="4" fillId="0" borderId="12" xfId="0" applyFont="1" applyBorder="1" applyAlignment="1">
      <alignment vertical="center"/>
    </xf>
    <xf numFmtId="0" fontId="4" fillId="0" borderId="21" xfId="0" applyFont="1" applyFill="1" applyBorder="1" applyAlignment="1">
      <alignment vertical="center"/>
    </xf>
    <xf numFmtId="0" fontId="5" fillId="0" borderId="10" xfId="0" applyFont="1" applyBorder="1" applyAlignment="1">
      <alignment vertical="center"/>
    </xf>
    <xf numFmtId="0" fontId="4" fillId="0" borderId="0" xfId="0" applyFont="1" applyFill="1" applyBorder="1" applyAlignment="1">
      <alignment vertical="center"/>
    </xf>
    <xf numFmtId="3" fontId="6" fillId="0" borderId="0" xfId="0"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37" fontId="12" fillId="0" borderId="0" xfId="43" applyNumberFormat="1" applyFont="1" applyFill="1" applyBorder="1" applyAlignment="1">
      <alignment horizontal="center" vertical="center"/>
    </xf>
    <xf numFmtId="0" fontId="4" fillId="0" borderId="0" xfId="0" applyFont="1" applyFill="1" applyBorder="1" applyAlignment="1">
      <alignment/>
    </xf>
    <xf numFmtId="0" fontId="5" fillId="0" borderId="0" xfId="0" applyFont="1" applyAlignment="1">
      <alignment/>
    </xf>
    <xf numFmtId="0" fontId="5" fillId="0" borderId="0" xfId="0" applyFont="1" applyAlignment="1">
      <alignment horizontal="right"/>
    </xf>
    <xf numFmtId="166" fontId="19" fillId="35" borderId="19" xfId="0" applyNumberFormat="1" applyFont="1" applyFill="1" applyBorder="1" applyAlignment="1">
      <alignment horizontal="center"/>
    </xf>
    <xf numFmtId="10" fontId="4" fillId="0" borderId="0" xfId="0" applyNumberFormat="1" applyFont="1" applyAlignment="1">
      <alignment horizontal="center"/>
    </xf>
    <xf numFmtId="166" fontId="19" fillId="0" borderId="0" xfId="0" applyNumberFormat="1" applyFont="1" applyFill="1" applyBorder="1" applyAlignment="1">
      <alignment horizontal="center"/>
    </xf>
    <xf numFmtId="10" fontId="4" fillId="0" borderId="0" xfId="0" applyNumberFormat="1" applyFont="1" applyFill="1" applyBorder="1" applyAlignment="1">
      <alignment horizontal="center"/>
    </xf>
    <xf numFmtId="167" fontId="0" fillId="0" borderId="0" xfId="0" applyNumberFormat="1" applyBorder="1" applyAlignment="1">
      <alignment/>
    </xf>
    <xf numFmtId="43" fontId="0" fillId="0" borderId="0" xfId="43" applyFont="1" applyBorder="1" applyAlignment="1">
      <alignment/>
    </xf>
    <xf numFmtId="0" fontId="0" fillId="0" borderId="0" xfId="0" applyBorder="1" applyAlignment="1">
      <alignment horizontal="left"/>
    </xf>
    <xf numFmtId="0" fontId="0" fillId="0" borderId="15" xfId="0" applyBorder="1" applyAlignment="1">
      <alignment horizontal="left"/>
    </xf>
    <xf numFmtId="9" fontId="0" fillId="0" borderId="0" xfId="77" applyFont="1" applyAlignment="1">
      <alignment/>
    </xf>
    <xf numFmtId="168" fontId="0" fillId="0" borderId="0" xfId="43" applyNumberFormat="1" applyFont="1" applyAlignment="1">
      <alignment/>
    </xf>
    <xf numFmtId="9" fontId="0" fillId="0" borderId="0" xfId="77" applyFont="1" applyBorder="1" applyAlignment="1">
      <alignment/>
    </xf>
    <xf numFmtId="164" fontId="0" fillId="0" borderId="0" xfId="0" applyNumberFormat="1" applyBorder="1" applyAlignment="1">
      <alignment/>
    </xf>
    <xf numFmtId="164" fontId="0" fillId="0" borderId="12" xfId="0" applyNumberFormat="1" applyBorder="1" applyAlignment="1">
      <alignment/>
    </xf>
    <xf numFmtId="9" fontId="0" fillId="0" borderId="0" xfId="77" applyFont="1" applyFill="1" applyBorder="1" applyAlignment="1">
      <alignment/>
    </xf>
    <xf numFmtId="0" fontId="0" fillId="0" borderId="0" xfId="0" applyAlignment="1">
      <alignment/>
    </xf>
    <xf numFmtId="2" fontId="0" fillId="0" borderId="0" xfId="0" applyNumberFormat="1" applyAlignment="1">
      <alignment/>
    </xf>
    <xf numFmtId="0" fontId="5" fillId="0" borderId="21" xfId="0" applyFont="1" applyBorder="1" applyAlignment="1">
      <alignment horizontal="left" vertical="center"/>
    </xf>
    <xf numFmtId="0" fontId="5" fillId="0" borderId="21" xfId="0" applyFont="1" applyFill="1" applyBorder="1" applyAlignment="1">
      <alignment horizontal="center" vertical="center" wrapText="1"/>
    </xf>
    <xf numFmtId="10" fontId="83" fillId="0" borderId="22" xfId="77" applyNumberFormat="1" applyFont="1" applyFill="1" applyBorder="1" applyAlignment="1">
      <alignment horizontal="center" vertical="center"/>
    </xf>
    <xf numFmtId="0" fontId="4" fillId="0" borderId="19" xfId="0" applyFont="1" applyBorder="1" applyAlignment="1">
      <alignment vertical="center"/>
    </xf>
    <xf numFmtId="0" fontId="4" fillId="0" borderId="22" xfId="0" applyFont="1" applyBorder="1" applyAlignment="1">
      <alignment vertical="center"/>
    </xf>
    <xf numFmtId="0" fontId="0" fillId="36" borderId="0" xfId="0" applyFill="1" applyBorder="1" applyAlignment="1">
      <alignment/>
    </xf>
    <xf numFmtId="0" fontId="7" fillId="36" borderId="0" xfId="0" applyFont="1" applyFill="1" applyBorder="1" applyAlignment="1">
      <alignment wrapText="1"/>
    </xf>
    <xf numFmtId="0" fontId="0" fillId="36" borderId="0" xfId="0" applyFill="1" applyBorder="1" applyAlignment="1">
      <alignment wrapText="1"/>
    </xf>
    <xf numFmtId="0" fontId="10" fillId="36" borderId="0" xfId="0" applyFont="1" applyFill="1" applyBorder="1" applyAlignment="1">
      <alignment wrapText="1"/>
    </xf>
    <xf numFmtId="14" fontId="9" fillId="36" borderId="0" xfId="0" applyNumberFormat="1" applyFont="1" applyFill="1" applyBorder="1" applyAlignment="1">
      <alignment horizontal="right"/>
    </xf>
    <xf numFmtId="0" fontId="0" fillId="36" borderId="0" xfId="0" applyFill="1" applyAlignment="1">
      <alignment/>
    </xf>
    <xf numFmtId="0" fontId="4" fillId="0" borderId="0" xfId="66" applyAlignment="1">
      <alignment vertical="center"/>
      <protection/>
    </xf>
    <xf numFmtId="14" fontId="4" fillId="36" borderId="23" xfId="66" applyNumberFormat="1" applyFont="1" applyFill="1" applyBorder="1" applyAlignment="1">
      <alignment horizontal="left" vertical="center" wrapText="1" indent="1"/>
      <protection/>
    </xf>
    <xf numFmtId="0" fontId="4" fillId="36" borderId="23" xfId="66" applyFont="1" applyFill="1" applyBorder="1" applyAlignment="1">
      <alignment horizontal="left" vertical="center" wrapText="1" indent="1"/>
      <protection/>
    </xf>
    <xf numFmtId="0" fontId="4" fillId="0" borderId="0" xfId="66">
      <alignment/>
      <protection/>
    </xf>
    <xf numFmtId="0" fontId="5" fillId="0" borderId="0" xfId="74" applyFont="1" applyAlignment="1">
      <alignment horizontal="right"/>
      <protection/>
    </xf>
    <xf numFmtId="0" fontId="4" fillId="0" borderId="10" xfId="74" applyFont="1" applyBorder="1">
      <alignment/>
      <protection/>
    </xf>
    <xf numFmtId="0" fontId="84" fillId="0" borderId="10" xfId="74" applyFont="1" applyBorder="1" applyAlignment="1">
      <alignment horizontal="center"/>
      <protection/>
    </xf>
    <xf numFmtId="0" fontId="5" fillId="0" borderId="10" xfId="74" applyFont="1" applyBorder="1">
      <alignment/>
      <protection/>
    </xf>
    <xf numFmtId="166" fontId="85" fillId="0" borderId="10" xfId="74" applyNumberFormat="1" applyFont="1" applyBorder="1" applyAlignment="1">
      <alignment horizontal="center"/>
      <protection/>
    </xf>
    <xf numFmtId="0" fontId="4" fillId="0" borderId="0" xfId="74">
      <alignment/>
      <protection/>
    </xf>
    <xf numFmtId="14" fontId="85" fillId="0" borderId="10" xfId="73" applyNumberFormat="1" applyFont="1" applyBorder="1" applyAlignment="1">
      <alignment horizontal="center" vertical="center" wrapText="1"/>
      <protection/>
    </xf>
    <xf numFmtId="0" fontId="0" fillId="36" borderId="0" xfId="0" applyFill="1" applyBorder="1" applyAlignment="1">
      <alignment vertical="center"/>
    </xf>
    <xf numFmtId="0" fontId="18" fillId="36" borderId="0" xfId="56" applyFill="1" applyBorder="1" applyAlignment="1" applyProtection="1">
      <alignment vertical="center" wrapText="1"/>
      <protection/>
    </xf>
    <xf numFmtId="0" fontId="18" fillId="36" borderId="0" xfId="56" applyFill="1" applyBorder="1" applyAlignment="1" applyProtection="1">
      <alignment vertical="center"/>
      <protection/>
    </xf>
    <xf numFmtId="2" fontId="4" fillId="0" borderId="21" xfId="0" applyNumberFormat="1" applyFont="1" applyBorder="1" applyAlignment="1">
      <alignment horizontal="center" vertical="center"/>
    </xf>
    <xf numFmtId="2" fontId="4" fillId="34" borderId="22" xfId="43" applyNumberFormat="1" applyFont="1" applyFill="1" applyBorder="1" applyAlignment="1">
      <alignment horizontal="center" vertical="center"/>
    </xf>
    <xf numFmtId="2" fontId="4" fillId="0" borderId="0" xfId="0" applyNumberFormat="1" applyFont="1" applyBorder="1" applyAlignment="1">
      <alignment horizontal="center" vertical="center"/>
    </xf>
    <xf numFmtId="0" fontId="4" fillId="0" borderId="20" xfId="0" applyFont="1" applyBorder="1" applyAlignment="1">
      <alignment vertical="center"/>
    </xf>
    <xf numFmtId="10" fontId="86" fillId="33" borderId="24" xfId="77" applyNumberFormat="1" applyFont="1" applyFill="1" applyBorder="1" applyAlignment="1">
      <alignment horizontal="center" vertical="center"/>
    </xf>
    <xf numFmtId="10" fontId="4" fillId="0" borderId="16" xfId="0" applyNumberFormat="1" applyFont="1" applyBorder="1" applyAlignment="1">
      <alignment horizontal="center" vertical="center"/>
    </xf>
    <xf numFmtId="0" fontId="87" fillId="0" borderId="0" xfId="0" applyFont="1" applyAlignment="1">
      <alignment horizontal="center" vertical="center"/>
    </xf>
    <xf numFmtId="1" fontId="86" fillId="33" borderId="25" xfId="0" applyNumberFormat="1" applyFont="1" applyFill="1" applyBorder="1" applyAlignment="1">
      <alignment horizontal="center" vertical="center"/>
    </xf>
    <xf numFmtId="1" fontId="83" fillId="0" borderId="19" xfId="0" applyNumberFormat="1" applyFont="1" applyFill="1" applyBorder="1" applyAlignment="1">
      <alignment horizontal="center" vertical="center"/>
    </xf>
    <xf numFmtId="1" fontId="86" fillId="33" borderId="15" xfId="77" applyNumberFormat="1" applyFont="1" applyFill="1" applyBorder="1" applyAlignment="1">
      <alignment horizontal="center" vertical="center"/>
    </xf>
    <xf numFmtId="1" fontId="83" fillId="0" borderId="20" xfId="77" applyNumberFormat="1" applyFont="1" applyFill="1" applyBorder="1" applyAlignment="1">
      <alignment horizontal="center" vertical="center"/>
    </xf>
    <xf numFmtId="1" fontId="4" fillId="34" borderId="19" xfId="43" applyNumberFormat="1" applyFont="1" applyFill="1" applyBorder="1" applyAlignment="1">
      <alignment horizontal="center" vertical="center"/>
    </xf>
    <xf numFmtId="1" fontId="4" fillId="34" borderId="20" xfId="43" applyNumberFormat="1" applyFont="1" applyFill="1" applyBorder="1" applyAlignment="1">
      <alignment horizontal="center" vertical="center"/>
    </xf>
    <xf numFmtId="0" fontId="85" fillId="0" borderId="26" xfId="0" applyFont="1" applyBorder="1" applyAlignment="1">
      <alignment/>
    </xf>
    <xf numFmtId="167" fontId="85" fillId="0" borderId="0" xfId="0" applyNumberFormat="1" applyFont="1" applyBorder="1" applyAlignment="1">
      <alignment horizontal="center"/>
    </xf>
    <xf numFmtId="0" fontId="5" fillId="0" borderId="27" xfId="73" applyFont="1" applyBorder="1" applyAlignment="1">
      <alignment horizontal="left" vertical="center" wrapText="1"/>
      <protection/>
    </xf>
    <xf numFmtId="0" fontId="5" fillId="0" borderId="28" xfId="73" applyFont="1" applyBorder="1" applyAlignment="1">
      <alignment horizontal="left" vertical="center" wrapText="1"/>
      <protection/>
    </xf>
    <xf numFmtId="0" fontId="88" fillId="0" borderId="29" xfId="0" applyFont="1" applyBorder="1" applyAlignment="1">
      <alignment/>
    </xf>
    <xf numFmtId="0" fontId="5" fillId="0" borderId="30" xfId="0" applyFont="1" applyBorder="1" applyAlignment="1">
      <alignment/>
    </xf>
    <xf numFmtId="0" fontId="4" fillId="0" borderId="31" xfId="0" applyFont="1" applyBorder="1" applyAlignment="1">
      <alignment vertical="center" wrapText="1"/>
    </xf>
    <xf numFmtId="0" fontId="21" fillId="0" borderId="32" xfId="0" applyFont="1" applyBorder="1" applyAlignment="1">
      <alignment vertical="center" wrapText="1"/>
    </xf>
    <xf numFmtId="0" fontId="4" fillId="0" borderId="33" xfId="0" applyFont="1" applyBorder="1" applyAlignment="1">
      <alignment vertical="top" wrapText="1"/>
    </xf>
    <xf numFmtId="0" fontId="26" fillId="36" borderId="0" xfId="0" applyFont="1" applyFill="1" applyBorder="1" applyAlignment="1">
      <alignment wrapText="1"/>
    </xf>
    <xf numFmtId="0" fontId="27" fillId="36" borderId="0" xfId="0" applyFont="1" applyFill="1" applyBorder="1" applyAlignment="1">
      <alignment vertical="center" wrapText="1"/>
    </xf>
    <xf numFmtId="0" fontId="28" fillId="36" borderId="0" xfId="0" applyFont="1" applyFill="1" applyBorder="1" applyAlignment="1">
      <alignment vertical="center" wrapText="1"/>
    </xf>
    <xf numFmtId="0" fontId="89" fillId="36" borderId="0" xfId="0" applyFont="1" applyFill="1" applyBorder="1" applyAlignment="1">
      <alignment wrapText="1"/>
    </xf>
    <xf numFmtId="0" fontId="89" fillId="36" borderId="0" xfId="0" applyNumberFormat="1" applyFont="1" applyFill="1" applyBorder="1" applyAlignment="1">
      <alignment wrapText="1"/>
    </xf>
    <xf numFmtId="0" fontId="85" fillId="36" borderId="0" xfId="66" applyFont="1" applyFill="1" applyBorder="1" applyAlignment="1">
      <alignment horizontal="left" vertical="center" wrapText="1" indent="1"/>
      <protection/>
    </xf>
    <xf numFmtId="0" fontId="5" fillId="0" borderId="0" xfId="0" applyFont="1" applyBorder="1" applyAlignment="1">
      <alignment/>
    </xf>
    <xf numFmtId="0" fontId="4" fillId="36" borderId="0" xfId="66" applyFont="1" applyFill="1" applyBorder="1" applyAlignment="1">
      <alignment horizontal="left" vertical="center" wrapText="1" indent="1"/>
      <protection/>
    </xf>
    <xf numFmtId="0" fontId="4" fillId="0" borderId="0" xfId="66" applyBorder="1">
      <alignment/>
      <protection/>
    </xf>
    <xf numFmtId="0" fontId="5" fillId="0" borderId="34" xfId="73" applyFont="1" applyBorder="1" applyAlignment="1">
      <alignment horizontal="left" vertical="center" wrapText="1"/>
      <protection/>
    </xf>
    <xf numFmtId="0" fontId="4" fillId="0" borderId="31" xfId="66" applyFont="1" applyBorder="1" applyAlignment="1">
      <alignment horizontal="left" vertical="center" wrapText="1" indent="1"/>
      <protection/>
    </xf>
    <xf numFmtId="0" fontId="4" fillId="36" borderId="35" xfId="66" applyFont="1" applyFill="1" applyBorder="1" applyAlignment="1">
      <alignment horizontal="left" vertical="center" wrapText="1" indent="1"/>
      <protection/>
    </xf>
    <xf numFmtId="0" fontId="5" fillId="0" borderId="0" xfId="0" applyFont="1" applyBorder="1" applyAlignment="1">
      <alignment horizontal="left" wrapText="1"/>
    </xf>
    <xf numFmtId="0" fontId="28" fillId="36" borderId="0" xfId="0" applyFont="1" applyFill="1" applyBorder="1" applyAlignment="1">
      <alignment horizontal="left" vertical="center" wrapText="1"/>
    </xf>
    <xf numFmtId="14" fontId="90" fillId="0" borderId="0" xfId="0" applyNumberFormat="1" applyFont="1" applyAlignment="1">
      <alignment horizontal="right"/>
    </xf>
    <xf numFmtId="14" fontId="90" fillId="0" borderId="0" xfId="0" applyNumberFormat="1" applyFont="1" applyAlignment="1">
      <alignment horizontal="left"/>
    </xf>
    <xf numFmtId="0" fontId="18" fillId="0" borderId="20" xfId="56" applyBorder="1" applyAlignment="1" applyProtection="1">
      <alignment vertical="center"/>
      <protection/>
    </xf>
    <xf numFmtId="0" fontId="18" fillId="0" borderId="22" xfId="56" applyBorder="1" applyAlignment="1" applyProtection="1">
      <alignment vertical="center"/>
      <protection/>
    </xf>
    <xf numFmtId="0" fontId="15" fillId="0" borderId="10" xfId="0" applyFont="1" applyFill="1" applyBorder="1" applyAlignment="1">
      <alignment horizontal="center" vertical="center" wrapText="1"/>
    </xf>
    <xf numFmtId="0" fontId="14" fillId="0" borderId="19" xfId="74" applyFont="1" applyBorder="1" applyAlignment="1">
      <alignment horizontal="center" vertical="center" wrapText="1"/>
      <protection/>
    </xf>
    <xf numFmtId="0" fontId="15" fillId="0" borderId="10" xfId="74" applyFont="1" applyFill="1" applyBorder="1" applyAlignment="1">
      <alignment horizontal="center" vertical="center" wrapText="1"/>
      <protection/>
    </xf>
    <xf numFmtId="0" fontId="5" fillId="0" borderId="10" xfId="66" applyFont="1" applyBorder="1" applyAlignment="1">
      <alignment horizontal="center"/>
      <protection/>
    </xf>
    <xf numFmtId="166" fontId="5" fillId="0" borderId="10" xfId="66" applyNumberFormat="1" applyFont="1" applyBorder="1" applyAlignment="1">
      <alignment horizontal="center"/>
      <protection/>
    </xf>
    <xf numFmtId="14" fontId="5" fillId="0" borderId="10" xfId="66" applyNumberFormat="1" applyFont="1" applyBorder="1" applyAlignment="1">
      <alignment horizontal="center"/>
      <protection/>
    </xf>
    <xf numFmtId="0" fontId="91" fillId="4" borderId="0" xfId="0" applyFont="1" applyFill="1" applyAlignment="1">
      <alignment/>
    </xf>
    <xf numFmtId="9" fontId="0" fillId="0" borderId="0" xfId="0" applyNumberFormat="1" applyBorder="1" applyAlignment="1">
      <alignment/>
    </xf>
    <xf numFmtId="164" fontId="0" fillId="0" borderId="17" xfId="0" applyNumberFormat="1" applyBorder="1" applyAlignment="1">
      <alignment/>
    </xf>
    <xf numFmtId="0" fontId="5" fillId="0" borderId="0" xfId="0" applyFont="1" applyAlignment="1">
      <alignment/>
    </xf>
    <xf numFmtId="0" fontId="4" fillId="0" borderId="0" xfId="0" applyFont="1" applyAlignment="1">
      <alignment/>
    </xf>
    <xf numFmtId="9" fontId="6" fillId="0" borderId="0" xfId="0" applyNumberFormat="1" applyFont="1" applyAlignment="1">
      <alignment/>
    </xf>
    <xf numFmtId="164" fontId="80" fillId="4" borderId="0" xfId="0" applyNumberFormat="1" applyFont="1" applyFill="1" applyAlignment="1">
      <alignment/>
    </xf>
    <xf numFmtId="43" fontId="6" fillId="0" borderId="0" xfId="43" applyFont="1" applyAlignment="1">
      <alignment/>
    </xf>
    <xf numFmtId="0" fontId="5" fillId="0" borderId="0" xfId="0" applyFont="1" applyFill="1" applyAlignment="1">
      <alignment horizontal="right"/>
    </xf>
    <xf numFmtId="172" fontId="5" fillId="0" borderId="10" xfId="47" applyNumberFormat="1" applyFont="1" applyFill="1" applyBorder="1" applyAlignment="1">
      <alignment/>
    </xf>
    <xf numFmtId="172" fontId="5" fillId="0" borderId="0" xfId="47" applyNumberFormat="1" applyFont="1" applyFill="1" applyAlignment="1">
      <alignment/>
    </xf>
    <xf numFmtId="164" fontId="0" fillId="7" borderId="0" xfId="0" applyNumberFormat="1" applyFill="1" applyAlignment="1">
      <alignment/>
    </xf>
    <xf numFmtId="0" fontId="66" fillId="36" borderId="0" xfId="0" applyFont="1" applyFill="1" applyAlignment="1">
      <alignment/>
    </xf>
    <xf numFmtId="0" fontId="80" fillId="0" borderId="12" xfId="0" applyFont="1" applyBorder="1" applyAlignment="1">
      <alignment/>
    </xf>
    <xf numFmtId="0" fontId="80" fillId="0" borderId="13" xfId="0" applyFont="1" applyBorder="1" applyAlignment="1">
      <alignment/>
    </xf>
    <xf numFmtId="0" fontId="91" fillId="4" borderId="11" xfId="0" applyFont="1" applyFill="1" applyBorder="1" applyAlignment="1">
      <alignment/>
    </xf>
    <xf numFmtId="0" fontId="92" fillId="4" borderId="12" xfId="0" applyFont="1" applyFill="1" applyBorder="1" applyAlignment="1">
      <alignment/>
    </xf>
    <xf numFmtId="0" fontId="92" fillId="4" borderId="13" xfId="0" applyFont="1" applyFill="1" applyBorder="1" applyAlignment="1">
      <alignment/>
    </xf>
    <xf numFmtId="164" fontId="5" fillId="7" borderId="10" xfId="0" applyNumberFormat="1" applyFont="1" applyFill="1" applyBorder="1" applyAlignment="1">
      <alignment horizontal="left" vertical="center" wrapText="1"/>
    </xf>
    <xf numFmtId="164" fontId="80" fillId="7" borderId="10" xfId="0" applyNumberFormat="1" applyFont="1" applyFill="1" applyBorder="1" applyAlignment="1">
      <alignment/>
    </xf>
    <xf numFmtId="0" fontId="93" fillId="0" borderId="0" xfId="0" applyFont="1" applyAlignment="1">
      <alignment/>
    </xf>
    <xf numFmtId="0" fontId="94" fillId="4" borderId="10" xfId="0" applyFont="1" applyFill="1" applyBorder="1" applyAlignment="1">
      <alignment horizontal="center" vertical="top" wrapText="1"/>
    </xf>
    <xf numFmtId="0" fontId="0" fillId="7" borderId="0" xfId="0" applyFill="1" applyAlignment="1">
      <alignment/>
    </xf>
    <xf numFmtId="168" fontId="0" fillId="7" borderId="0" xfId="43" applyNumberFormat="1" applyFont="1" applyFill="1" applyAlignment="1">
      <alignment/>
    </xf>
    <xf numFmtId="0" fontId="85" fillId="0" borderId="36" xfId="0" applyFont="1" applyBorder="1" applyAlignment="1">
      <alignment/>
    </xf>
    <xf numFmtId="1" fontId="95" fillId="0" borderId="37" xfId="0" applyNumberFormat="1" applyFont="1" applyBorder="1" applyAlignment="1">
      <alignment horizontal="center"/>
    </xf>
    <xf numFmtId="1" fontId="95" fillId="0" borderId="0" xfId="0" applyNumberFormat="1" applyFont="1" applyBorder="1" applyAlignment="1">
      <alignment horizontal="center"/>
    </xf>
    <xf numFmtId="0" fontId="84" fillId="0" borderId="38" xfId="0" applyFont="1" applyBorder="1" applyAlignment="1">
      <alignment/>
    </xf>
    <xf numFmtId="1" fontId="96" fillId="0" borderId="21" xfId="0" applyNumberFormat="1" applyFont="1" applyBorder="1" applyAlignment="1">
      <alignment horizontal="center"/>
    </xf>
    <xf numFmtId="0" fontId="85" fillId="0" borderId="16" xfId="0" applyFont="1" applyBorder="1" applyAlignment="1">
      <alignment/>
    </xf>
    <xf numFmtId="167" fontId="85" fillId="0" borderId="17" xfId="0" applyNumberFormat="1" applyFont="1" applyBorder="1" applyAlignment="1">
      <alignment horizontal="center"/>
    </xf>
    <xf numFmtId="167" fontId="85" fillId="0" borderId="24" xfId="0" applyNumberFormat="1" applyFont="1" applyBorder="1" applyAlignment="1">
      <alignment horizontal="center"/>
    </xf>
    <xf numFmtId="0" fontId="85" fillId="0" borderId="0" xfId="0" applyFont="1" applyFill="1" applyBorder="1" applyAlignment="1">
      <alignment horizontal="center" vertical="center"/>
    </xf>
    <xf numFmtId="0" fontId="95" fillId="0" borderId="39" xfId="0" applyFont="1" applyBorder="1" applyAlignment="1">
      <alignment/>
    </xf>
    <xf numFmtId="0" fontId="97" fillId="0" borderId="0" xfId="0" applyFont="1" applyBorder="1" applyAlignment="1">
      <alignment/>
    </xf>
    <xf numFmtId="1" fontId="95" fillId="0" borderId="40" xfId="0" applyNumberFormat="1" applyFont="1" applyBorder="1" applyAlignment="1">
      <alignment horizontal="center"/>
    </xf>
    <xf numFmtId="167" fontId="85" fillId="0" borderId="41" xfId="0" applyNumberFormat="1" applyFont="1" applyBorder="1" applyAlignment="1">
      <alignment horizontal="center"/>
    </xf>
    <xf numFmtId="10" fontId="85" fillId="0" borderId="42" xfId="81" applyNumberFormat="1" applyFont="1" applyBorder="1" applyAlignment="1">
      <alignment horizontal="center"/>
    </xf>
    <xf numFmtId="2" fontId="85" fillId="0" borderId="42" xfId="0" applyNumberFormat="1" applyFont="1" applyBorder="1" applyAlignment="1">
      <alignment horizontal="center"/>
    </xf>
    <xf numFmtId="0" fontId="85" fillId="0" borderId="42" xfId="0" applyFont="1" applyBorder="1" applyAlignment="1">
      <alignment/>
    </xf>
    <xf numFmtId="0" fontId="85" fillId="0" borderId="43" xfId="0" applyFont="1" applyBorder="1" applyAlignment="1">
      <alignment/>
    </xf>
    <xf numFmtId="1" fontId="96" fillId="0" borderId="25" xfId="0" applyNumberFormat="1" applyFont="1" applyBorder="1" applyAlignment="1">
      <alignment horizontal="center"/>
    </xf>
    <xf numFmtId="164" fontId="0" fillId="0" borderId="13" xfId="0" applyNumberFormat="1" applyBorder="1" applyAlignment="1">
      <alignment/>
    </xf>
    <xf numFmtId="10" fontId="80" fillId="0" borderId="0" xfId="0" applyNumberFormat="1" applyFont="1" applyFill="1" applyAlignment="1">
      <alignment/>
    </xf>
    <xf numFmtId="0" fontId="21" fillId="0" borderId="0" xfId="74" applyFont="1">
      <alignment/>
      <protection/>
    </xf>
    <xf numFmtId="0" fontId="4" fillId="0" borderId="0" xfId="67" applyAlignment="1">
      <alignment/>
    </xf>
    <xf numFmtId="0" fontId="4" fillId="0" borderId="0" xfId="67" applyFont="1" applyAlignment="1">
      <alignment/>
    </xf>
    <xf numFmtId="0" fontId="4" fillId="0" borderId="0" xfId="67" applyFont="1" applyBorder="1" applyAlignment="1">
      <alignment/>
    </xf>
    <xf numFmtId="0" fontId="4" fillId="0" borderId="0" xfId="67" applyFont="1" applyFill="1" applyBorder="1" applyAlignment="1">
      <alignment/>
    </xf>
    <xf numFmtId="0" fontId="13" fillId="0" borderId="0" xfId="67" applyFont="1" applyFill="1" applyBorder="1" applyAlignment="1">
      <alignment/>
    </xf>
    <xf numFmtId="0" fontId="7" fillId="0" borderId="0" xfId="67" applyFont="1" applyFill="1" applyBorder="1" applyAlignment="1">
      <alignment/>
    </xf>
    <xf numFmtId="0" fontId="37" fillId="0" borderId="0" xfId="67" applyFont="1" applyFill="1" applyBorder="1" applyAlignment="1">
      <alignment/>
    </xf>
    <xf numFmtId="0" fontId="38" fillId="0" borderId="0" xfId="67" applyFont="1" applyFill="1" applyBorder="1" applyAlignment="1">
      <alignment/>
    </xf>
    <xf numFmtId="0" fontId="39" fillId="0" borderId="0" xfId="67" applyFont="1" applyFill="1" applyBorder="1" applyAlignment="1">
      <alignment horizontal="right"/>
    </xf>
    <xf numFmtId="0" fontId="4" fillId="0" borderId="44" xfId="67" applyFont="1" applyBorder="1" applyAlignment="1">
      <alignment/>
    </xf>
    <xf numFmtId="0" fontId="40" fillId="0" borderId="45" xfId="67" applyFont="1" applyFill="1" applyBorder="1" applyAlignment="1">
      <alignment wrapText="1"/>
    </xf>
    <xf numFmtId="164" fontId="40" fillId="0" borderId="45" xfId="67" applyNumberFormat="1" applyFont="1" applyFill="1" applyBorder="1" applyAlignment="1">
      <alignment horizontal="right" wrapText="1"/>
    </xf>
    <xf numFmtId="0" fontId="4" fillId="0" borderId="45" xfId="67" applyFont="1" applyBorder="1" applyAlignment="1">
      <alignment/>
    </xf>
    <xf numFmtId="0" fontId="4" fillId="0" borderId="46" xfId="67" applyFont="1" applyBorder="1" applyAlignment="1">
      <alignment/>
    </xf>
    <xf numFmtId="0" fontId="4" fillId="0" borderId="47" xfId="67" applyFont="1" applyBorder="1" applyAlignment="1">
      <alignment/>
    </xf>
    <xf numFmtId="0" fontId="41" fillId="0" borderId="0" xfId="67" applyFont="1" applyFill="1" applyBorder="1" applyAlignment="1">
      <alignment wrapText="1"/>
    </xf>
    <xf numFmtId="173" fontId="41" fillId="0" borderId="0" xfId="47" applyNumberFormat="1" applyFont="1" applyFill="1" applyBorder="1" applyAlignment="1">
      <alignment horizontal="center" wrapText="1"/>
    </xf>
    <xf numFmtId="0" fontId="40" fillId="0" borderId="0" xfId="67" applyFont="1" applyBorder="1" applyAlignment="1">
      <alignment/>
    </xf>
    <xf numFmtId="0" fontId="4" fillId="0" borderId="48" xfId="67" applyFont="1" applyBorder="1" applyAlignment="1">
      <alignment/>
    </xf>
    <xf numFmtId="166" fontId="41" fillId="0" borderId="0" xfId="78" applyNumberFormat="1" applyFont="1" applyFill="1" applyBorder="1" applyAlignment="1">
      <alignment horizontal="right" wrapText="1"/>
    </xf>
    <xf numFmtId="0" fontId="41" fillId="0" borderId="0" xfId="67" applyFont="1" applyFill="1" applyBorder="1" applyAlignment="1">
      <alignment horizontal="left" shrinkToFit="1"/>
    </xf>
    <xf numFmtId="0" fontId="41" fillId="0" borderId="0" xfId="67" applyFont="1" applyFill="1" applyBorder="1" applyAlignment="1">
      <alignment/>
    </xf>
    <xf numFmtId="0" fontId="40" fillId="0" borderId="0" xfId="67" applyFont="1" applyFill="1" applyBorder="1" applyAlignment="1">
      <alignment/>
    </xf>
    <xf numFmtId="0" fontId="41" fillId="0" borderId="49" xfId="67" applyFont="1" applyFill="1" applyBorder="1" applyAlignment="1">
      <alignment/>
    </xf>
    <xf numFmtId="0" fontId="41" fillId="0" borderId="49" xfId="67" applyFont="1" applyFill="1" applyBorder="1" applyAlignment="1">
      <alignment horizontal="center"/>
    </xf>
    <xf numFmtId="0" fontId="41" fillId="0" borderId="49" xfId="67" applyFont="1" applyBorder="1" applyAlignment="1">
      <alignment horizontal="right"/>
    </xf>
    <xf numFmtId="49" fontId="41" fillId="0" borderId="50" xfId="67" applyNumberFormat="1" applyFont="1" applyFill="1" applyBorder="1" applyAlignment="1">
      <alignment/>
    </xf>
    <xf numFmtId="0" fontId="41" fillId="0" borderId="50" xfId="67" applyFont="1" applyFill="1" applyBorder="1" applyAlignment="1">
      <alignment horizontal="center"/>
    </xf>
    <xf numFmtId="0" fontId="41" fillId="0" borderId="50" xfId="67" applyFont="1" applyBorder="1" applyAlignment="1">
      <alignment horizontal="right"/>
    </xf>
    <xf numFmtId="3" fontId="40" fillId="0" borderId="0" xfId="67" applyNumberFormat="1" applyFont="1" applyFill="1" applyBorder="1" applyAlignment="1">
      <alignment horizontal="center" wrapText="1"/>
    </xf>
    <xf numFmtId="0" fontId="40" fillId="0" borderId="0" xfId="67" applyFont="1" applyBorder="1" applyAlignment="1">
      <alignment horizontal="right" indent="2"/>
    </xf>
    <xf numFmtId="0" fontId="41" fillId="0" borderId="0" xfId="67" applyFont="1" applyFill="1" applyBorder="1" applyAlignment="1">
      <alignment horizontal="right" wrapText="1" indent="1"/>
    </xf>
    <xf numFmtId="0" fontId="40" fillId="0" borderId="0" xfId="67" applyFont="1" applyFill="1" applyBorder="1" applyAlignment="1">
      <alignment wrapText="1"/>
    </xf>
    <xf numFmtId="168" fontId="40" fillId="0" borderId="0" xfId="45" applyNumberFormat="1" applyFont="1" applyFill="1" applyBorder="1" applyAlignment="1">
      <alignment horizontal="right" wrapText="1" indent="1"/>
    </xf>
    <xf numFmtId="0" fontId="40" fillId="0" borderId="0" xfId="67" applyFont="1" applyFill="1" applyBorder="1" applyAlignment="1">
      <alignment horizontal="right" indent="1"/>
    </xf>
    <xf numFmtId="0" fontId="40" fillId="0" borderId="0" xfId="67" applyFont="1" applyBorder="1" applyAlignment="1">
      <alignment horizontal="center"/>
    </xf>
    <xf numFmtId="9" fontId="40" fillId="0" borderId="0" xfId="67" applyNumberFormat="1" applyFont="1" applyFill="1" applyBorder="1" applyAlignment="1">
      <alignment horizontal="right" wrapText="1" indent="1"/>
    </xf>
    <xf numFmtId="9" fontId="4" fillId="0" borderId="48" xfId="67" applyNumberFormat="1" applyFont="1" applyBorder="1" applyAlignment="1">
      <alignment/>
    </xf>
    <xf numFmtId="0" fontId="40" fillId="0" borderId="49" xfId="67" applyFont="1" applyFill="1" applyBorder="1" applyAlignment="1">
      <alignment wrapText="1"/>
    </xf>
    <xf numFmtId="0" fontId="40" fillId="0" borderId="49" xfId="67" applyFont="1" applyBorder="1" applyAlignment="1">
      <alignment horizontal="center"/>
    </xf>
    <xf numFmtId="0" fontId="40" fillId="0" borderId="49" xfId="67" applyFont="1" applyBorder="1" applyAlignment="1">
      <alignment horizontal="right" indent="2"/>
    </xf>
    <xf numFmtId="9" fontId="40" fillId="0" borderId="49" xfId="67" applyNumberFormat="1" applyFont="1" applyFill="1" applyBorder="1" applyAlignment="1">
      <alignment horizontal="right" wrapText="1" indent="1"/>
    </xf>
    <xf numFmtId="165" fontId="4" fillId="0" borderId="0" xfId="67" applyNumberFormat="1" applyAlignment="1">
      <alignment/>
    </xf>
    <xf numFmtId="0" fontId="24" fillId="0" borderId="47" xfId="67" applyFont="1" applyBorder="1" applyAlignment="1">
      <alignment/>
    </xf>
    <xf numFmtId="0" fontId="40" fillId="0" borderId="50" xfId="67" applyFont="1" applyBorder="1" applyAlignment="1">
      <alignment/>
    </xf>
    <xf numFmtId="0" fontId="46" fillId="0" borderId="50" xfId="67" applyFont="1" applyBorder="1" applyAlignment="1">
      <alignment horizontal="center"/>
    </xf>
    <xf numFmtId="0" fontId="46" fillId="0" borderId="50" xfId="67" applyFont="1" applyFill="1" applyBorder="1" applyAlignment="1">
      <alignment horizontal="right" indent="2"/>
    </xf>
    <xf numFmtId="0" fontId="46" fillId="0" borderId="50" xfId="67" applyFont="1" applyFill="1" applyBorder="1" applyAlignment="1">
      <alignment horizontal="right" indent="1"/>
    </xf>
    <xf numFmtId="9" fontId="46" fillId="0" borderId="50" xfId="78" applyFont="1" applyFill="1" applyBorder="1" applyAlignment="1">
      <alignment horizontal="right" indent="1"/>
    </xf>
    <xf numFmtId="164" fontId="4" fillId="0" borderId="0" xfId="67" applyNumberFormat="1" applyAlignment="1">
      <alignment/>
    </xf>
    <xf numFmtId="0" fontId="41" fillId="0" borderId="50" xfId="67" applyFont="1" applyFill="1" applyBorder="1" applyAlignment="1">
      <alignment/>
    </xf>
    <xf numFmtId="164" fontId="40" fillId="0" borderId="0" xfId="67" applyNumberFormat="1" applyFont="1" applyFill="1" applyBorder="1" applyAlignment="1">
      <alignment horizontal="center" vertical="center"/>
    </xf>
    <xf numFmtId="0" fontId="40" fillId="0" borderId="0" xfId="67" applyFont="1" applyBorder="1" applyAlignment="1">
      <alignment horizontal="left" vertical="center" indent="2"/>
    </xf>
    <xf numFmtId="164" fontId="40" fillId="0" borderId="0" xfId="67" applyNumberFormat="1" applyFont="1" applyFill="1" applyBorder="1" applyAlignment="1">
      <alignment horizontal="right" vertical="center" indent="1"/>
    </xf>
    <xf numFmtId="165" fontId="4" fillId="0" borderId="48" xfId="67" applyNumberFormat="1" applyFont="1" applyBorder="1" applyAlignment="1">
      <alignment/>
    </xf>
    <xf numFmtId="0" fontId="40" fillId="0" borderId="49" xfId="67" applyFont="1" applyBorder="1" applyAlignment="1">
      <alignment/>
    </xf>
    <xf numFmtId="9" fontId="40" fillId="0" borderId="49" xfId="78" applyNumberFormat="1" applyFont="1" applyBorder="1" applyAlignment="1">
      <alignment horizontal="center"/>
    </xf>
    <xf numFmtId="0" fontId="46" fillId="0" borderId="49" xfId="67" applyFont="1" applyFill="1" applyBorder="1" applyAlignment="1">
      <alignment horizontal="right" indent="2"/>
    </xf>
    <xf numFmtId="44" fontId="1" fillId="0" borderId="0" xfId="49" applyFont="1" applyAlignment="1">
      <alignment/>
    </xf>
    <xf numFmtId="0" fontId="40" fillId="0" borderId="50" xfId="67" applyFont="1" applyFill="1" applyBorder="1" applyAlignment="1">
      <alignment wrapText="1"/>
    </xf>
    <xf numFmtId="0" fontId="46" fillId="0" borderId="50" xfId="67" applyFont="1" applyBorder="1" applyAlignment="1">
      <alignment horizontal="right" indent="2"/>
    </xf>
    <xf numFmtId="9" fontId="46" fillId="0" borderId="50" xfId="67" applyNumberFormat="1" applyFont="1" applyFill="1" applyBorder="1" applyAlignment="1">
      <alignment horizontal="right" indent="1"/>
    </xf>
    <xf numFmtId="0" fontId="46" fillId="0" borderId="49" xfId="67" applyFont="1" applyBorder="1" applyAlignment="1">
      <alignment horizontal="center"/>
    </xf>
    <xf numFmtId="0" fontId="46" fillId="0" borderId="49" xfId="67" applyFont="1" applyBorder="1" applyAlignment="1">
      <alignment horizontal="right" indent="2"/>
    </xf>
    <xf numFmtId="0" fontId="46" fillId="0" borderId="49" xfId="67" applyFont="1" applyFill="1" applyBorder="1" applyAlignment="1">
      <alignment horizontal="right" indent="1"/>
    </xf>
    <xf numFmtId="0" fontId="46" fillId="0" borderId="0" xfId="67" applyFont="1" applyBorder="1" applyAlignment="1">
      <alignment horizontal="center"/>
    </xf>
    <xf numFmtId="0" fontId="46" fillId="0" borderId="0" xfId="67" applyFont="1" applyBorder="1" applyAlignment="1">
      <alignment horizontal="right" indent="2"/>
    </xf>
    <xf numFmtId="0" fontId="46" fillId="0" borderId="0" xfId="67" applyFont="1" applyFill="1" applyBorder="1" applyAlignment="1">
      <alignment horizontal="right" indent="1"/>
    </xf>
    <xf numFmtId="39" fontId="40" fillId="0" borderId="49" xfId="49" applyNumberFormat="1" applyFont="1" applyBorder="1" applyAlignment="1">
      <alignment horizontal="center"/>
    </xf>
    <xf numFmtId="44" fontId="40" fillId="0" borderId="49" xfId="49" applyFont="1" applyBorder="1" applyAlignment="1">
      <alignment horizontal="right" indent="2"/>
    </xf>
    <xf numFmtId="39" fontId="40" fillId="0" borderId="49" xfId="49" applyNumberFormat="1" applyFont="1" applyFill="1" applyBorder="1" applyAlignment="1">
      <alignment horizontal="right" wrapText="1" indent="1"/>
    </xf>
    <xf numFmtId="39" fontId="4" fillId="0" borderId="48" xfId="67" applyNumberFormat="1" applyFont="1" applyBorder="1" applyAlignment="1">
      <alignment/>
    </xf>
    <xf numFmtId="165" fontId="4" fillId="0" borderId="0" xfId="67" applyNumberFormat="1" applyFont="1" applyAlignment="1">
      <alignment/>
    </xf>
    <xf numFmtId="164" fontId="40" fillId="0" borderId="0" xfId="67" applyNumberFormat="1" applyFont="1" applyFill="1" applyBorder="1" applyAlignment="1">
      <alignment horizontal="center" wrapText="1"/>
    </xf>
    <xf numFmtId="174" fontId="41" fillId="0" borderId="0" xfId="67" applyNumberFormat="1" applyFont="1" applyFill="1" applyBorder="1" applyAlignment="1">
      <alignment horizontal="center" wrapText="1"/>
    </xf>
    <xf numFmtId="0" fontId="40" fillId="0" borderId="51" xfId="67" applyFont="1" applyFill="1" applyBorder="1" applyAlignment="1">
      <alignment wrapText="1"/>
    </xf>
    <xf numFmtId="3" fontId="40" fillId="0" borderId="0" xfId="67" applyNumberFormat="1" applyFont="1" applyFill="1" applyBorder="1" applyAlignment="1">
      <alignment horizontal="center" shrinkToFit="1"/>
    </xf>
    <xf numFmtId="0" fontId="40" fillId="0" borderId="51" xfId="67" applyFont="1" applyBorder="1" applyAlignment="1">
      <alignment/>
    </xf>
    <xf numFmtId="164" fontId="40" fillId="0" borderId="52" xfId="67" applyNumberFormat="1" applyFont="1" applyFill="1" applyBorder="1" applyAlignment="1">
      <alignment horizontal="right" wrapText="1"/>
    </xf>
    <xf numFmtId="1" fontId="23" fillId="0" borderId="0" xfId="69" applyNumberFormat="1">
      <alignment/>
      <protection/>
    </xf>
    <xf numFmtId="1" fontId="4" fillId="0" borderId="0" xfId="67" applyNumberFormat="1" applyAlignment="1">
      <alignment/>
    </xf>
    <xf numFmtId="0" fontId="44" fillId="0" borderId="0" xfId="67" applyFont="1" applyFill="1" applyBorder="1" applyAlignment="1">
      <alignment/>
    </xf>
    <xf numFmtId="0" fontId="40" fillId="0" borderId="0" xfId="67" applyFont="1" applyBorder="1" applyAlignment="1">
      <alignment/>
    </xf>
    <xf numFmtId="9" fontId="40" fillId="0" borderId="0" xfId="67" applyNumberFormat="1" applyFont="1" applyFill="1" applyBorder="1" applyAlignment="1">
      <alignment wrapText="1"/>
    </xf>
    <xf numFmtId="0" fontId="45" fillId="0" borderId="0" xfId="67" applyFont="1" applyBorder="1" applyAlignment="1">
      <alignment horizontal="left"/>
    </xf>
    <xf numFmtId="0" fontId="4" fillId="0" borderId="0" xfId="67" applyBorder="1" applyAlignment="1">
      <alignment/>
    </xf>
    <xf numFmtId="0" fontId="45" fillId="0" borderId="0" xfId="67" applyFont="1" applyBorder="1" applyAlignment="1">
      <alignment/>
    </xf>
    <xf numFmtId="0" fontId="4" fillId="0" borderId="53" xfId="67" applyFont="1" applyBorder="1" applyAlignment="1">
      <alignment/>
    </xf>
    <xf numFmtId="0" fontId="45" fillId="0" borderId="54" xfId="67" applyFont="1" applyBorder="1" applyAlignment="1">
      <alignment/>
    </xf>
    <xf numFmtId="0" fontId="4" fillId="0" borderId="54" xfId="67" applyFont="1" applyBorder="1" applyAlignment="1">
      <alignment/>
    </xf>
    <xf numFmtId="0" fontId="4" fillId="0" borderId="55" xfId="67" applyFont="1" applyBorder="1" applyAlignment="1">
      <alignment/>
    </xf>
    <xf numFmtId="44" fontId="41" fillId="0" borderId="0" xfId="47" applyFont="1" applyFill="1" applyBorder="1" applyAlignment="1">
      <alignment horizontal="center" wrapText="1"/>
    </xf>
    <xf numFmtId="165" fontId="98" fillId="0" borderId="0" xfId="0" applyNumberFormat="1" applyFont="1" applyAlignment="1">
      <alignment/>
    </xf>
    <xf numFmtId="0" fontId="0" fillId="0" borderId="11" xfId="0" applyFill="1" applyBorder="1" applyAlignment="1">
      <alignment/>
    </xf>
    <xf numFmtId="165" fontId="0" fillId="0" borderId="12" xfId="0" applyNumberFormat="1" applyBorder="1" applyAlignment="1">
      <alignment/>
    </xf>
    <xf numFmtId="0" fontId="5" fillId="0" borderId="56" xfId="0" applyFont="1" applyBorder="1" applyAlignment="1">
      <alignment horizontal="left"/>
    </xf>
    <xf numFmtId="14" fontId="99" fillId="36" borderId="23" xfId="66" applyNumberFormat="1" applyFont="1" applyFill="1" applyBorder="1" applyAlignment="1">
      <alignment horizontal="left" vertical="center" wrapText="1" indent="1"/>
      <protection/>
    </xf>
    <xf numFmtId="0" fontId="99" fillId="36" borderId="23" xfId="66" applyFont="1" applyFill="1" applyBorder="1" applyAlignment="1">
      <alignment horizontal="left" vertical="center" wrapText="1" indent="1"/>
      <protection/>
    </xf>
    <xf numFmtId="0" fontId="99" fillId="0" borderId="31" xfId="0" applyFont="1" applyBorder="1" applyAlignment="1">
      <alignment vertical="center" wrapText="1"/>
    </xf>
    <xf numFmtId="0" fontId="100" fillId="0" borderId="32" xfId="0" applyFont="1" applyBorder="1" applyAlignment="1">
      <alignment vertical="center" wrapText="1"/>
    </xf>
    <xf numFmtId="0" fontId="99" fillId="0" borderId="33" xfId="0" applyFont="1" applyBorder="1" applyAlignment="1">
      <alignment vertical="top" wrapText="1"/>
    </xf>
    <xf numFmtId="0" fontId="99" fillId="0" borderId="32" xfId="0" applyFont="1" applyBorder="1" applyAlignment="1">
      <alignment vertical="center" wrapText="1"/>
    </xf>
    <xf numFmtId="0" fontId="99" fillId="36" borderId="35" xfId="66" applyFont="1" applyFill="1" applyBorder="1" applyAlignment="1">
      <alignment horizontal="left" vertical="center" wrapText="1" indent="1"/>
      <protection/>
    </xf>
    <xf numFmtId="0" fontId="101" fillId="36" borderId="0" xfId="0" applyFont="1" applyFill="1" applyBorder="1" applyAlignment="1">
      <alignment wrapText="1"/>
    </xf>
    <xf numFmtId="0" fontId="4" fillId="0" borderId="0" xfId="73" applyNumberFormat="1" applyFont="1" applyBorder="1" applyAlignment="1">
      <alignment horizontal="left" wrapText="1"/>
      <protection/>
    </xf>
    <xf numFmtId="0" fontId="7" fillId="36" borderId="0" xfId="0" applyFont="1" applyFill="1" applyAlignment="1">
      <alignment horizontal="center" vertical="center"/>
    </xf>
    <xf numFmtId="0" fontId="5" fillId="0" borderId="34" xfId="0" applyFont="1" applyBorder="1" applyAlignment="1">
      <alignment horizontal="left" vertical="center"/>
    </xf>
    <xf numFmtId="0" fontId="5" fillId="0" borderId="57" xfId="0" applyFont="1" applyBorder="1" applyAlignment="1">
      <alignment horizontal="left" vertical="center"/>
    </xf>
    <xf numFmtId="0" fontId="5" fillId="0" borderId="58" xfId="0" applyFont="1" applyBorder="1" applyAlignment="1">
      <alignment horizontal="left" vertical="center"/>
    </xf>
    <xf numFmtId="0" fontId="5" fillId="0" borderId="59" xfId="66" applyFont="1" applyBorder="1" applyAlignment="1">
      <alignment horizontal="left" vertical="center" wrapText="1"/>
      <protection/>
    </xf>
    <xf numFmtId="0" fontId="5" fillId="0" borderId="57" xfId="66" applyFont="1" applyBorder="1" applyAlignment="1">
      <alignment horizontal="left" vertical="center" wrapText="1"/>
      <protection/>
    </xf>
    <xf numFmtId="0" fontId="102" fillId="0" borderId="60" xfId="0" applyFont="1" applyFill="1" applyBorder="1" applyAlignment="1">
      <alignment horizontal="left" vertical="center" wrapText="1"/>
    </xf>
    <xf numFmtId="0" fontId="102" fillId="0" borderId="61" xfId="0" applyFont="1" applyFill="1" applyBorder="1" applyAlignment="1">
      <alignment horizontal="left" vertical="center" wrapText="1"/>
    </xf>
    <xf numFmtId="0" fontId="102" fillId="0" borderId="62" xfId="0" applyFont="1" applyFill="1" applyBorder="1" applyAlignment="1">
      <alignment horizontal="left" vertical="center" wrapText="1"/>
    </xf>
    <xf numFmtId="0" fontId="4" fillId="36" borderId="0" xfId="0" applyFont="1" applyFill="1" applyBorder="1" applyAlignment="1">
      <alignment horizontal="left" vertical="center" wrapText="1"/>
    </xf>
    <xf numFmtId="0" fontId="4" fillId="36" borderId="0" xfId="0" applyFont="1" applyFill="1" applyBorder="1" applyAlignment="1">
      <alignment horizontal="left" vertical="center"/>
    </xf>
    <xf numFmtId="0" fontId="0" fillId="36" borderId="0" xfId="0" applyFill="1" applyBorder="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13" fillId="0" borderId="19" xfId="0" applyFont="1" applyBorder="1" applyAlignment="1">
      <alignment horizontal="left" vertical="center"/>
    </xf>
    <xf numFmtId="0" fontId="13" fillId="0" borderId="63" xfId="0" applyFont="1" applyBorder="1" applyAlignment="1">
      <alignment horizontal="left" vertical="center"/>
    </xf>
    <xf numFmtId="0" fontId="13" fillId="0" borderId="64" xfId="0" applyFont="1" applyBorder="1" applyAlignment="1">
      <alignment horizontal="left"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5" fillId="0" borderId="0" xfId="0" applyFont="1" applyFill="1" applyAlignment="1">
      <alignment horizontal="left" vertical="center" wrapText="1"/>
    </xf>
    <xf numFmtId="0" fontId="103" fillId="0" borderId="0" xfId="0" applyFont="1" applyBorder="1" applyAlignment="1">
      <alignment horizontal="left"/>
    </xf>
    <xf numFmtId="0" fontId="103" fillId="0" borderId="15" xfId="0" applyFont="1" applyBorder="1" applyAlignment="1">
      <alignment horizontal="left"/>
    </xf>
    <xf numFmtId="0" fontId="0" fillId="0" borderId="0" xfId="0" applyBorder="1" applyAlignment="1">
      <alignment horizontal="left"/>
    </xf>
    <xf numFmtId="0" fontId="0" fillId="0" borderId="15" xfId="0" applyBorder="1" applyAlignment="1">
      <alignment horizontal="left"/>
    </xf>
    <xf numFmtId="0" fontId="0" fillId="0" borderId="17" xfId="0" applyBorder="1" applyAlignment="1">
      <alignment horizontal="left"/>
    </xf>
    <xf numFmtId="0" fontId="0" fillId="0" borderId="24" xfId="0" applyBorder="1" applyAlignment="1">
      <alignment horizontal="left"/>
    </xf>
    <xf numFmtId="0" fontId="98" fillId="0" borderId="0" xfId="0" applyFont="1" applyBorder="1" applyAlignment="1">
      <alignment horizontal="center" wrapText="1"/>
    </xf>
    <xf numFmtId="0" fontId="98" fillId="0" borderId="15" xfId="0" applyFont="1" applyBorder="1" applyAlignment="1">
      <alignment horizontal="center" wrapText="1"/>
    </xf>
    <xf numFmtId="0" fontId="98" fillId="0" borderId="21" xfId="0" applyFont="1" applyBorder="1" applyAlignment="1">
      <alignment horizontal="center"/>
    </xf>
    <xf numFmtId="0" fontId="98" fillId="0" borderId="25" xfId="0" applyFont="1" applyBorder="1" applyAlignment="1">
      <alignment horizontal="center"/>
    </xf>
    <xf numFmtId="0" fontId="7" fillId="0" borderId="0" xfId="67" applyFont="1" applyFill="1" applyBorder="1" applyAlignment="1">
      <alignment horizontal="right"/>
    </xf>
    <xf numFmtId="0" fontId="0" fillId="0" borderId="0" xfId="0" applyAlignment="1">
      <alignment horizontal="right"/>
    </xf>
    <xf numFmtId="0" fontId="13" fillId="0" borderId="0" xfId="67" applyFont="1" applyFill="1" applyBorder="1" applyAlignment="1">
      <alignment horizontal="center" vertical="center"/>
    </xf>
    <xf numFmtId="0" fontId="39" fillId="0" borderId="0" xfId="67" applyFont="1" applyBorder="1" applyAlignment="1">
      <alignment horizontal="center" vertical="center"/>
    </xf>
    <xf numFmtId="0" fontId="41" fillId="0" borderId="49" xfId="67" applyFont="1" applyFill="1" applyBorder="1" applyAlignment="1">
      <alignment horizontal="center"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a 2" xfId="42"/>
    <cellStyle name="Comma" xfId="43"/>
    <cellStyle name="Comma [0]" xfId="44"/>
    <cellStyle name="Comma 2" xfId="45"/>
    <cellStyle name="Comma 2 3" xfId="46"/>
    <cellStyle name="Currency" xfId="47"/>
    <cellStyle name="Currency [0]" xfId="48"/>
    <cellStyle name="Currency 2 2"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Millares 2" xfId="59"/>
    <cellStyle name="Millares 3" xfId="60"/>
    <cellStyle name="Millares 4" xfId="61"/>
    <cellStyle name="Millares 5" xfId="62"/>
    <cellStyle name="Millares 6" xfId="63"/>
    <cellStyle name="Moneda 2" xfId="64"/>
    <cellStyle name="Neutral" xfId="65"/>
    <cellStyle name="Normal 2" xfId="66"/>
    <cellStyle name="Normal 2 2" xfId="67"/>
    <cellStyle name="Normal 2 2 2" xfId="68"/>
    <cellStyle name="Normal 3" xfId="69"/>
    <cellStyle name="Normal 4" xfId="70"/>
    <cellStyle name="Normal 5" xfId="71"/>
    <cellStyle name="Normal 6" xfId="72"/>
    <cellStyle name="Normal_ConsolidatedAg_IM_Clean" xfId="73"/>
    <cellStyle name="Normal_Mongolia Health ERR.IM Cleaned - v15" xfId="74"/>
    <cellStyle name="Note" xfId="75"/>
    <cellStyle name="Output" xfId="76"/>
    <cellStyle name="Percent" xfId="77"/>
    <cellStyle name="Percent 2" xfId="78"/>
    <cellStyle name="Percent 2 3" xfId="79"/>
    <cellStyle name="Percent 3" xfId="80"/>
    <cellStyle name="Porcentual 2" xfId="81"/>
    <cellStyle name="Title" xfId="82"/>
    <cellStyle name="Total" xfId="83"/>
    <cellStyle name="Warning Text" xfId="84"/>
  </cellStyles>
  <dxfs count="8">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rgb="FFFFFFFF"/>
      </font>
      <fill>
        <patternFill patternType="none">
          <bgColor indexed="65"/>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Undiscounted Annual Net Benefits </a:t>
            </a:r>
          </a:p>
        </c:rich>
      </c:tx>
      <c:layout>
        <c:manualLayout>
          <c:xMode val="factor"/>
          <c:yMode val="factor"/>
          <c:x val="-0.00425"/>
          <c:y val="0.01075"/>
        </c:manualLayout>
      </c:layout>
      <c:spPr>
        <a:noFill/>
        <a:ln w="3175">
          <a:noFill/>
        </a:ln>
      </c:spPr>
    </c:title>
    <c:plotArea>
      <c:layout>
        <c:manualLayout>
          <c:xMode val="edge"/>
          <c:yMode val="edge"/>
          <c:x val="0.01625"/>
          <c:y val="0.14425"/>
          <c:w val="0.967"/>
          <c:h val="0.759"/>
        </c:manualLayout>
      </c:layout>
      <c:areaChart>
        <c:grouping val="standard"/>
        <c:varyColors val="0"/>
        <c:ser>
          <c:idx val="0"/>
          <c:order val="0"/>
          <c:spPr>
            <a:solidFill>
              <a:srgbClr val="008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Ref>
              <c:f>'Cost-Benefit Summary'!$C$13:$V$13</c:f>
              <c:numCache>
                <c:ptCount val="20"/>
                <c:pt idx="0">
                  <c:v>-4809856.268308215</c:v>
                </c:pt>
                <c:pt idx="1">
                  <c:v>-10618444.457422623</c:v>
                </c:pt>
                <c:pt idx="2">
                  <c:v>-7986808.669264411</c:v>
                </c:pt>
                <c:pt idx="3">
                  <c:v>-395685.119686896</c:v>
                </c:pt>
                <c:pt idx="4">
                  <c:v>2057461.016015716</c:v>
                </c:pt>
                <c:pt idx="5">
                  <c:v>11914242.633711327</c:v>
                </c:pt>
                <c:pt idx="6">
                  <c:v>11914242.633711327</c:v>
                </c:pt>
                <c:pt idx="7">
                  <c:v>11914242.633711327</c:v>
                </c:pt>
                <c:pt idx="8">
                  <c:v>11914242.633711327</c:v>
                </c:pt>
                <c:pt idx="9">
                  <c:v>11914242.633711327</c:v>
                </c:pt>
                <c:pt idx="10">
                  <c:v>11914242.633711327</c:v>
                </c:pt>
                <c:pt idx="11">
                  <c:v>11914242.633711327</c:v>
                </c:pt>
                <c:pt idx="12">
                  <c:v>11914242.633711327</c:v>
                </c:pt>
                <c:pt idx="13">
                  <c:v>11914242.633711327</c:v>
                </c:pt>
                <c:pt idx="14">
                  <c:v>11914242.633711327</c:v>
                </c:pt>
                <c:pt idx="15">
                  <c:v>11914242.633711327</c:v>
                </c:pt>
                <c:pt idx="16">
                  <c:v>11914242.633711327</c:v>
                </c:pt>
                <c:pt idx="17">
                  <c:v>11914242.633711327</c:v>
                </c:pt>
                <c:pt idx="18">
                  <c:v>11914242.633711327</c:v>
                </c:pt>
                <c:pt idx="19">
                  <c:v>11914242.633711327</c:v>
                </c:pt>
              </c:numCache>
            </c:numRef>
          </c:val>
        </c:ser>
        <c:axId val="66683683"/>
        <c:axId val="63282236"/>
      </c:areaChart>
      <c:catAx>
        <c:axId val="66683683"/>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00625"/>
              <c:y val="0.001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3282236"/>
        <c:crosses val="autoZero"/>
        <c:auto val="1"/>
        <c:lblOffset val="100"/>
        <c:tickLblSkip val="1"/>
        <c:noMultiLvlLbl val="0"/>
      </c:catAx>
      <c:valAx>
        <c:axId val="63282236"/>
        <c:scaling>
          <c:orientation val="minMax"/>
        </c:scaling>
        <c:axPos val="l"/>
        <c:title>
          <c:tx>
            <c:rich>
              <a:bodyPr vert="horz" rot="-5400000" anchor="ctr"/>
              <a:lstStyle/>
              <a:p>
                <a:pPr algn="ctr">
                  <a:defRPr/>
                </a:pPr>
                <a:r>
                  <a:rPr lang="en-US" cap="none" sz="1000" b="1" i="0" u="none" baseline="0">
                    <a:solidFill>
                      <a:srgbClr val="000000"/>
                    </a:solidFill>
                  </a:rPr>
                  <a:t>Thousands US$</a:t>
                </a:r>
              </a:p>
            </c:rich>
          </c:tx>
          <c:layout>
            <c:manualLayout>
              <c:xMode val="factor"/>
              <c:yMode val="factor"/>
              <c:x val="-0.01825"/>
              <c:y val="-0.00375"/>
            </c:manualLayout>
          </c:layout>
          <c:overlay val="0"/>
          <c:spPr>
            <a:noFill/>
            <a:ln w="3175">
              <a:noFill/>
            </a:ln>
          </c:spPr>
        </c:title>
        <c:majorGridlines>
          <c:spPr>
            <a:ln w="3175">
              <a:solidFill>
                <a:srgbClr val="000000"/>
              </a:solidFill>
            </a:ln>
          </c:spPr>
        </c:majorGridlines>
        <c:delete val="0"/>
        <c:numFmt formatCode="&quot;$&quot;#,##0" sourceLinked="0"/>
        <c:majorTickMark val="out"/>
        <c:minorTickMark val="none"/>
        <c:tickLblPos val="nextTo"/>
        <c:spPr>
          <a:ln w="3175">
            <a:solidFill>
              <a:srgbClr val="000000"/>
            </a:solidFill>
          </a:ln>
        </c:spPr>
        <c:crossAx val="66683683"/>
        <c:crossesAt val="1"/>
        <c:crossBetween val="midCat"/>
        <c:dispUnits/>
      </c:valAx>
      <c:spPr>
        <a:no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2</xdr:col>
      <xdr:colOff>228600</xdr:colOff>
      <xdr:row>4</xdr:row>
      <xdr:rowOff>161925</xdr:rowOff>
    </xdr:to>
    <xdr:pic>
      <xdr:nvPicPr>
        <xdr:cNvPr id="1" name="Picture 1"/>
        <xdr:cNvPicPr preferRelativeResize="1">
          <a:picLocks noChangeAspect="1"/>
        </xdr:cNvPicPr>
      </xdr:nvPicPr>
      <xdr:blipFill>
        <a:blip r:embed="rId1"/>
        <a:stretch>
          <a:fillRect/>
        </a:stretch>
      </xdr:blipFill>
      <xdr:spPr>
        <a:xfrm>
          <a:off x="533400" y="200025"/>
          <a:ext cx="265747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32</xdr:row>
      <xdr:rowOff>76200</xdr:rowOff>
    </xdr:from>
    <xdr:to>
      <xdr:col>1</xdr:col>
      <xdr:colOff>2238375</xdr:colOff>
      <xdr:row>33</xdr:row>
      <xdr:rowOff>85725</xdr:rowOff>
    </xdr:to>
    <xdr:pic>
      <xdr:nvPicPr>
        <xdr:cNvPr id="1" name="Picture 1" descr="MCC horizontal"/>
        <xdr:cNvPicPr preferRelativeResize="1">
          <a:picLocks noChangeAspect="1"/>
        </xdr:cNvPicPr>
      </xdr:nvPicPr>
      <xdr:blipFill>
        <a:blip r:embed="rId1"/>
        <a:stretch>
          <a:fillRect/>
        </a:stretch>
      </xdr:blipFill>
      <xdr:spPr>
        <a:xfrm>
          <a:off x="523875" y="9382125"/>
          <a:ext cx="2228850" cy="200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32</xdr:row>
      <xdr:rowOff>133350</xdr:rowOff>
    </xdr:from>
    <xdr:to>
      <xdr:col>6</xdr:col>
      <xdr:colOff>466725</xdr:colOff>
      <xdr:row>55</xdr:row>
      <xdr:rowOff>66675</xdr:rowOff>
    </xdr:to>
    <xdr:graphicFrame>
      <xdr:nvGraphicFramePr>
        <xdr:cNvPr id="1" name="Chart 1"/>
        <xdr:cNvGraphicFramePr/>
      </xdr:nvGraphicFramePr>
      <xdr:xfrm>
        <a:off x="1704975" y="8220075"/>
        <a:ext cx="6886575" cy="4295775"/>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981075</xdr:colOff>
      <xdr:row>1</xdr:row>
      <xdr:rowOff>114300</xdr:rowOff>
    </xdr:from>
    <xdr:to>
      <xdr:col>7</xdr:col>
      <xdr:colOff>638175</xdr:colOff>
      <xdr:row>2</xdr:row>
      <xdr:rowOff>38100</xdr:rowOff>
    </xdr:to>
    <xdr:pic>
      <xdr:nvPicPr>
        <xdr:cNvPr id="2" name="Picture 4" descr="MCC horizontal"/>
        <xdr:cNvPicPr preferRelativeResize="1">
          <a:picLocks noChangeAspect="1"/>
        </xdr:cNvPicPr>
      </xdr:nvPicPr>
      <xdr:blipFill>
        <a:blip r:embed="rId2"/>
        <a:stretch>
          <a:fillRect/>
        </a:stretch>
      </xdr:blipFill>
      <xdr:spPr>
        <a:xfrm>
          <a:off x="7010400" y="276225"/>
          <a:ext cx="28003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895350</xdr:colOff>
      <xdr:row>1</xdr:row>
      <xdr:rowOff>114300</xdr:rowOff>
    </xdr:from>
    <xdr:to>
      <xdr:col>7</xdr:col>
      <xdr:colOff>638175</xdr:colOff>
      <xdr:row>2</xdr:row>
      <xdr:rowOff>38100</xdr:rowOff>
    </xdr:to>
    <xdr:pic>
      <xdr:nvPicPr>
        <xdr:cNvPr id="1" name="Picture 4" descr="MCC horizontal"/>
        <xdr:cNvPicPr preferRelativeResize="1">
          <a:picLocks noChangeAspect="1"/>
        </xdr:cNvPicPr>
      </xdr:nvPicPr>
      <xdr:blipFill>
        <a:blip r:embed="rId1"/>
        <a:stretch>
          <a:fillRect/>
        </a:stretch>
      </xdr:blipFill>
      <xdr:spPr>
        <a:xfrm>
          <a:off x="6029325" y="276225"/>
          <a:ext cx="2428875" cy="180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695325</xdr:colOff>
      <xdr:row>1</xdr:row>
      <xdr:rowOff>76200</xdr:rowOff>
    </xdr:from>
    <xdr:to>
      <xdr:col>9</xdr:col>
      <xdr:colOff>19050</xdr:colOff>
      <xdr:row>2</xdr:row>
      <xdr:rowOff>19050</xdr:rowOff>
    </xdr:to>
    <xdr:pic>
      <xdr:nvPicPr>
        <xdr:cNvPr id="1" name="Picture 4" descr="MCC horizontal"/>
        <xdr:cNvPicPr preferRelativeResize="1">
          <a:picLocks noChangeAspect="1"/>
        </xdr:cNvPicPr>
      </xdr:nvPicPr>
      <xdr:blipFill>
        <a:blip r:embed="rId1"/>
        <a:stretch>
          <a:fillRect/>
        </a:stretch>
      </xdr:blipFill>
      <xdr:spPr>
        <a:xfrm>
          <a:off x="5934075" y="238125"/>
          <a:ext cx="2714625" cy="200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2</xdr:row>
      <xdr:rowOff>47625</xdr:rowOff>
    </xdr:from>
    <xdr:to>
      <xdr:col>2</xdr:col>
      <xdr:colOff>2590800</xdr:colOff>
      <xdr:row>6</xdr:row>
      <xdr:rowOff>47625</xdr:rowOff>
    </xdr:to>
    <xdr:pic>
      <xdr:nvPicPr>
        <xdr:cNvPr id="1" name="Picture 1"/>
        <xdr:cNvPicPr preferRelativeResize="1">
          <a:picLocks noChangeAspect="1"/>
        </xdr:cNvPicPr>
      </xdr:nvPicPr>
      <xdr:blipFill>
        <a:blip r:embed="rId1"/>
        <a:stretch>
          <a:fillRect/>
        </a:stretch>
      </xdr:blipFill>
      <xdr:spPr>
        <a:xfrm>
          <a:off x="285750" y="438150"/>
          <a:ext cx="29527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
  <dimension ref="B1:E37"/>
  <sheetViews>
    <sheetView showGridLines="0" tabSelected="1" zoomScalePageLayoutView="0" workbookViewId="0" topLeftCell="A1">
      <selection activeCell="A1" sqref="A1"/>
    </sheetView>
  </sheetViews>
  <sheetFormatPr defaultColWidth="9.140625" defaultRowHeight="15"/>
  <cols>
    <col min="1" max="1" width="7.7109375" style="79" customWidth="1"/>
    <col min="2" max="2" width="36.7109375" style="74" customWidth="1"/>
    <col min="3" max="4" width="54.7109375" style="74" customWidth="1"/>
    <col min="5" max="16384" width="9.140625" style="74" customWidth="1"/>
  </cols>
  <sheetData>
    <row r="1" spans="3:4" s="79" customFormat="1" ht="12.75" customHeight="1">
      <c r="C1" s="28"/>
      <c r="D1" s="29"/>
    </row>
    <row r="2" spans="3:4" s="79" customFormat="1" ht="20.25" customHeight="1">
      <c r="C2" s="290" t="s">
        <v>197</v>
      </c>
      <c r="D2" s="290"/>
    </row>
    <row r="3" spans="3:4" s="79" customFormat="1" ht="20.25" customHeight="1">
      <c r="C3" s="290"/>
      <c r="D3" s="290"/>
    </row>
    <row r="4" spans="3:4" s="79" customFormat="1" ht="20.25" customHeight="1">
      <c r="C4" s="290"/>
      <c r="D4" s="290"/>
    </row>
    <row r="5" spans="3:4" s="79" customFormat="1" ht="20.25" customHeight="1">
      <c r="C5" s="290"/>
      <c r="D5" s="290"/>
    </row>
    <row r="6" spans="3:4" s="79" customFormat="1" ht="20.25" customHeight="1">
      <c r="C6" s="290"/>
      <c r="D6" s="290"/>
    </row>
    <row r="7" s="79" customFormat="1" ht="15.75" thickBot="1"/>
    <row r="8" spans="2:4" s="80" customFormat="1" ht="18" customHeight="1" thickTop="1">
      <c r="B8" s="109" t="s">
        <v>119</v>
      </c>
      <c r="C8" s="111" t="s">
        <v>96</v>
      </c>
      <c r="D8" s="112" t="s">
        <v>101</v>
      </c>
    </row>
    <row r="9" spans="2:4" s="80" customFormat="1" ht="18" customHeight="1">
      <c r="B9" s="110" t="s">
        <v>120</v>
      </c>
      <c r="C9" s="281">
        <v>38960</v>
      </c>
      <c r="D9" s="81">
        <v>41153</v>
      </c>
    </row>
    <row r="10" spans="2:4" s="80" customFormat="1" ht="24" customHeight="1">
      <c r="B10" s="110" t="s">
        <v>92</v>
      </c>
      <c r="C10" s="282" t="s">
        <v>112</v>
      </c>
      <c r="D10" s="82" t="s">
        <v>198</v>
      </c>
    </row>
    <row r="11" spans="2:4" s="80" customFormat="1" ht="102">
      <c r="B11" s="291" t="s">
        <v>84</v>
      </c>
      <c r="C11" s="283" t="s">
        <v>124</v>
      </c>
      <c r="D11" s="113" t="s">
        <v>124</v>
      </c>
    </row>
    <row r="12" spans="2:4" s="80" customFormat="1" ht="63.75">
      <c r="B12" s="292"/>
      <c r="C12" s="284" t="s">
        <v>194</v>
      </c>
      <c r="D12" s="114" t="s">
        <v>126</v>
      </c>
    </row>
    <row r="13" spans="2:4" s="80" customFormat="1" ht="25.5">
      <c r="B13" s="292"/>
      <c r="C13" s="284" t="s">
        <v>195</v>
      </c>
      <c r="D13" s="114" t="s">
        <v>203</v>
      </c>
    </row>
    <row r="14" spans="2:4" s="80" customFormat="1" ht="39" thickBot="1">
      <c r="B14" s="293"/>
      <c r="C14" s="285" t="s">
        <v>196</v>
      </c>
      <c r="D14" s="115" t="s">
        <v>204</v>
      </c>
    </row>
    <row r="15" spans="2:4" s="83" customFormat="1" ht="26.25" thickTop="1">
      <c r="B15" s="294" t="s">
        <v>121</v>
      </c>
      <c r="C15" s="286" t="s">
        <v>127</v>
      </c>
      <c r="D15" s="298" t="s">
        <v>102</v>
      </c>
    </row>
    <row r="16" spans="2:4" s="83" customFormat="1" ht="25.5">
      <c r="B16" s="295"/>
      <c r="C16" s="286" t="s">
        <v>128</v>
      </c>
      <c r="D16" s="296"/>
    </row>
    <row r="17" spans="2:4" s="83" customFormat="1" ht="25.5">
      <c r="B17" s="295"/>
      <c r="C17" s="286" t="s">
        <v>129</v>
      </c>
      <c r="D17" s="296" t="s">
        <v>103</v>
      </c>
    </row>
    <row r="18" spans="2:4" s="83" customFormat="1" ht="38.25">
      <c r="B18" s="295"/>
      <c r="C18" s="286" t="s">
        <v>130</v>
      </c>
      <c r="D18" s="297"/>
    </row>
    <row r="19" spans="2:4" s="83" customFormat="1" ht="51.75" thickBot="1">
      <c r="B19" s="125" t="s">
        <v>122</v>
      </c>
      <c r="C19" s="283" t="s">
        <v>125</v>
      </c>
      <c r="D19" s="126" t="s">
        <v>97</v>
      </c>
    </row>
    <row r="20" spans="2:4" s="83" customFormat="1" ht="21.75" customHeight="1" thickBot="1" thickTop="1">
      <c r="B20" s="280" t="s">
        <v>123</v>
      </c>
      <c r="C20" s="287" t="s">
        <v>131</v>
      </c>
      <c r="D20" s="127" t="s">
        <v>192</v>
      </c>
    </row>
    <row r="21" spans="2:4" s="124" customFormat="1" ht="21.75" customHeight="1" thickTop="1">
      <c r="B21" s="122"/>
      <c r="C21" s="121"/>
      <c r="D21" s="123"/>
    </row>
    <row r="22" spans="2:4" s="124" customFormat="1" ht="12.75">
      <c r="B22" s="128" t="s">
        <v>135</v>
      </c>
      <c r="C22" s="121"/>
      <c r="D22" s="123"/>
    </row>
    <row r="23" spans="2:4" s="124" customFormat="1" ht="12.75">
      <c r="B23" s="128"/>
      <c r="C23" s="121"/>
      <c r="D23" s="123"/>
    </row>
    <row r="24" spans="2:4" s="124" customFormat="1" ht="12.75">
      <c r="B24" s="92" t="s">
        <v>84</v>
      </c>
      <c r="C24" s="121"/>
      <c r="D24" s="123"/>
    </row>
    <row r="25" spans="2:4" ht="15">
      <c r="B25" s="299" t="s">
        <v>93</v>
      </c>
      <c r="C25" s="299"/>
      <c r="D25" s="299"/>
    </row>
    <row r="26" ht="15">
      <c r="B26" s="91"/>
    </row>
    <row r="27" ht="15">
      <c r="B27" s="92" t="s">
        <v>94</v>
      </c>
    </row>
    <row r="28" spans="2:4" ht="15">
      <c r="B28" s="300" t="s">
        <v>95</v>
      </c>
      <c r="C28" s="300"/>
      <c r="D28" s="300"/>
    </row>
    <row r="29" ht="15">
      <c r="B29" s="91"/>
    </row>
    <row r="30" ht="15">
      <c r="B30" s="93" t="s">
        <v>136</v>
      </c>
    </row>
    <row r="31" spans="2:4" ht="15">
      <c r="B31" s="299" t="s">
        <v>104</v>
      </c>
      <c r="C31" s="299"/>
      <c r="D31" s="299"/>
    </row>
    <row r="32" ht="15">
      <c r="B32" s="91"/>
    </row>
    <row r="33" ht="15">
      <c r="B33" s="92" t="s">
        <v>147</v>
      </c>
    </row>
    <row r="34" spans="2:4" ht="15">
      <c r="B34" s="301" t="s">
        <v>105</v>
      </c>
      <c r="C34" s="301"/>
      <c r="D34" s="301"/>
    </row>
    <row r="35" ht="15">
      <c r="B35" s="91"/>
    </row>
    <row r="36" ht="15">
      <c r="B36" s="92" t="s">
        <v>155</v>
      </c>
    </row>
    <row r="37" spans="2:5" ht="15">
      <c r="B37" s="289" t="s">
        <v>185</v>
      </c>
      <c r="C37" s="289"/>
      <c r="D37" s="289"/>
      <c r="E37" s="289"/>
    </row>
  </sheetData>
  <sheetProtection/>
  <mergeCells count="10">
    <mergeCell ref="B37:E37"/>
    <mergeCell ref="C2:D6"/>
    <mergeCell ref="B11:B14"/>
    <mergeCell ref="B15:B18"/>
    <mergeCell ref="D17:D18"/>
    <mergeCell ref="D15:D16"/>
    <mergeCell ref="B25:D25"/>
    <mergeCell ref="B28:D28"/>
    <mergeCell ref="B31:D31"/>
    <mergeCell ref="B34:D34"/>
  </mergeCells>
  <hyperlinks>
    <hyperlink ref="B27" location="'ERR &amp; Sensitivity Analysis'!A1" display="ERR &amp; Sensitivity Analysis"/>
    <hyperlink ref="B24" location="'Project Description'!A1" display="Project Description"/>
    <hyperlink ref="B30" location="'Cost-Benefit Summary'!A1" display="Cost-Benefit Summary"/>
    <hyperlink ref="B33" location="'Cost Assumptions'!A1" display="Cost Assumptions"/>
    <hyperlink ref="B36" location="'Poverty Scorecard'!A1" display="Poverty Scorecard"/>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B2:B82"/>
  <sheetViews>
    <sheetView zoomScalePageLayoutView="0" workbookViewId="0" topLeftCell="A1">
      <selection activeCell="A1" sqref="A1"/>
    </sheetView>
  </sheetViews>
  <sheetFormatPr defaultColWidth="9.140625" defaultRowHeight="15"/>
  <cols>
    <col min="1" max="1" width="7.7109375" style="74" customWidth="1"/>
    <col min="2" max="2" width="106.421875" style="74" customWidth="1"/>
    <col min="3" max="16384" width="9.140625" style="74" customWidth="1"/>
  </cols>
  <sheetData>
    <row r="1" ht="12.75" customHeight="1"/>
    <row r="2" ht="20.25">
      <c r="B2" s="75" t="s">
        <v>199</v>
      </c>
    </row>
    <row r="3" ht="18">
      <c r="B3" s="77" t="s">
        <v>84</v>
      </c>
    </row>
    <row r="4" ht="15">
      <c r="B4" s="76"/>
    </row>
    <row r="5" ht="15">
      <c r="B5" s="116" t="s">
        <v>32</v>
      </c>
    </row>
    <row r="6" ht="6.75" customHeight="1">
      <c r="B6" s="119"/>
    </row>
    <row r="7" ht="13.5" customHeight="1">
      <c r="B7" s="288" t="s">
        <v>96</v>
      </c>
    </row>
    <row r="8" ht="15" customHeight="1">
      <c r="B8" s="119"/>
    </row>
    <row r="9" ht="51">
      <c r="B9" s="117" t="s">
        <v>85</v>
      </c>
    </row>
    <row r="10" ht="15">
      <c r="B10" s="119"/>
    </row>
    <row r="11" ht="15">
      <c r="B11" s="288" t="s">
        <v>101</v>
      </c>
    </row>
    <row r="12" ht="9.75" customHeight="1">
      <c r="B12" s="119"/>
    </row>
    <row r="13" ht="30" customHeight="1">
      <c r="B13" s="119" t="s">
        <v>202</v>
      </c>
    </row>
    <row r="14" ht="10.5" customHeight="1">
      <c r="B14" s="119"/>
    </row>
    <row r="15" ht="15">
      <c r="B15" s="116" t="s">
        <v>86</v>
      </c>
    </row>
    <row r="16" ht="6.75" customHeight="1">
      <c r="B16" s="119"/>
    </row>
    <row r="17" ht="23.25" customHeight="1">
      <c r="B17" s="120" t="s">
        <v>200</v>
      </c>
    </row>
    <row r="18" ht="46.5" customHeight="1">
      <c r="B18" s="129" t="s">
        <v>132</v>
      </c>
    </row>
    <row r="19" ht="33" customHeight="1">
      <c r="B19" s="118" t="s">
        <v>133</v>
      </c>
    </row>
    <row r="20" ht="43.5" customHeight="1">
      <c r="B20" s="118" t="s">
        <v>134</v>
      </c>
    </row>
    <row r="21" ht="64.5">
      <c r="B21" s="120" t="s">
        <v>87</v>
      </c>
    </row>
    <row r="22" ht="15">
      <c r="B22" s="120"/>
    </row>
    <row r="23" ht="51.75">
      <c r="B23" s="120" t="s">
        <v>88</v>
      </c>
    </row>
    <row r="24" ht="15">
      <c r="B24" s="119"/>
    </row>
    <row r="25" ht="15">
      <c r="B25" s="116" t="s">
        <v>89</v>
      </c>
    </row>
    <row r="26" ht="6.75" customHeight="1">
      <c r="B26" s="119"/>
    </row>
    <row r="27" ht="39">
      <c r="B27" s="120" t="s">
        <v>114</v>
      </c>
    </row>
    <row r="28" ht="26.25">
      <c r="B28" s="119" t="s">
        <v>115</v>
      </c>
    </row>
    <row r="29" ht="15">
      <c r="B29" s="119"/>
    </row>
    <row r="30" ht="39">
      <c r="B30" s="119" t="s">
        <v>90</v>
      </c>
    </row>
    <row r="31" ht="15">
      <c r="B31" s="119"/>
    </row>
    <row r="32" ht="15">
      <c r="B32" s="76"/>
    </row>
    <row r="33" ht="15">
      <c r="B33" s="78" t="s">
        <v>113</v>
      </c>
    </row>
    <row r="34" ht="15">
      <c r="B34" s="76"/>
    </row>
    <row r="35" ht="15">
      <c r="B35" s="76"/>
    </row>
    <row r="36" ht="15">
      <c r="B36" s="76"/>
    </row>
    <row r="37" ht="15">
      <c r="B37" s="76"/>
    </row>
    <row r="38" ht="15">
      <c r="B38" s="76"/>
    </row>
    <row r="39" ht="15">
      <c r="B39" s="76"/>
    </row>
    <row r="40" ht="15">
      <c r="B40" s="76"/>
    </row>
    <row r="41" ht="15">
      <c r="B41" s="76"/>
    </row>
    <row r="42" ht="15">
      <c r="B42" s="76"/>
    </row>
    <row r="43" ht="15">
      <c r="B43" s="76"/>
    </row>
    <row r="44" ht="15">
      <c r="B44" s="76"/>
    </row>
    <row r="45" ht="15">
      <c r="B45" s="76"/>
    </row>
    <row r="46" ht="15">
      <c r="B46" s="76"/>
    </row>
    <row r="47" ht="15">
      <c r="B47" s="76"/>
    </row>
    <row r="48" ht="15">
      <c r="B48" s="76"/>
    </row>
    <row r="49" ht="15">
      <c r="B49" s="76"/>
    </row>
    <row r="50" ht="15">
      <c r="B50" s="76"/>
    </row>
    <row r="51" ht="15">
      <c r="B51" s="76"/>
    </row>
    <row r="52" ht="15">
      <c r="B52" s="76"/>
    </row>
    <row r="53" ht="15">
      <c r="B53" s="76"/>
    </row>
    <row r="54" ht="15">
      <c r="B54" s="76"/>
    </row>
    <row r="55" ht="15">
      <c r="B55" s="76"/>
    </row>
    <row r="56" ht="15">
      <c r="B56" s="76"/>
    </row>
    <row r="57" ht="15">
      <c r="B57" s="76"/>
    </row>
    <row r="58" ht="15">
      <c r="B58" s="76"/>
    </row>
    <row r="59" ht="15">
      <c r="B59" s="76"/>
    </row>
    <row r="60" ht="15">
      <c r="B60" s="76"/>
    </row>
    <row r="61" ht="15">
      <c r="B61" s="76"/>
    </row>
    <row r="62" ht="15">
      <c r="B62" s="76"/>
    </row>
    <row r="63" ht="15">
      <c r="B63" s="76"/>
    </row>
    <row r="64" ht="15">
      <c r="B64" s="76"/>
    </row>
    <row r="65" ht="15">
      <c r="B65" s="76"/>
    </row>
    <row r="66" ht="15">
      <c r="B66" s="76"/>
    </row>
    <row r="67" ht="15">
      <c r="B67" s="76"/>
    </row>
    <row r="68" ht="15">
      <c r="B68" s="76"/>
    </row>
    <row r="69" ht="15">
      <c r="B69" s="76"/>
    </row>
    <row r="70" ht="15">
      <c r="B70" s="76"/>
    </row>
    <row r="71" ht="15">
      <c r="B71" s="76"/>
    </row>
    <row r="72" ht="15">
      <c r="B72" s="76"/>
    </row>
    <row r="73" ht="15">
      <c r="B73" s="76"/>
    </row>
    <row r="74" ht="15">
      <c r="B74" s="76"/>
    </row>
    <row r="75" ht="15">
      <c r="B75" s="76"/>
    </row>
    <row r="76" ht="15">
      <c r="B76" s="76"/>
    </row>
    <row r="77" ht="15">
      <c r="B77" s="76"/>
    </row>
    <row r="78" ht="15">
      <c r="B78" s="76"/>
    </row>
    <row r="79" ht="15">
      <c r="B79" s="76"/>
    </row>
    <row r="80" ht="15">
      <c r="B80" s="76"/>
    </row>
    <row r="81" ht="15">
      <c r="B81" s="76"/>
    </row>
    <row r="82" ht="15">
      <c r="B82" s="76"/>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B2:I79"/>
  <sheetViews>
    <sheetView zoomScalePageLayoutView="0" workbookViewId="0" topLeftCell="A1">
      <selection activeCell="A1" sqref="A1"/>
    </sheetView>
  </sheetViews>
  <sheetFormatPr defaultColWidth="9.140625" defaultRowHeight="15"/>
  <cols>
    <col min="1" max="1" width="7.7109375" style="23" customWidth="1"/>
    <col min="2" max="2" width="18.8515625" style="23" customWidth="1"/>
    <col min="3" max="3" width="48.140625" style="23" bestFit="1" customWidth="1"/>
    <col min="4" max="4" width="15.7109375" style="23" customWidth="1"/>
    <col min="5" max="5" width="15.7109375" style="25" customWidth="1"/>
    <col min="6" max="7" width="15.7109375" style="23" customWidth="1"/>
    <col min="8" max="8" width="9.8515625" style="23" customWidth="1"/>
    <col min="9" max="9" width="20.140625" style="23" customWidth="1"/>
    <col min="10" max="16384" width="9.140625" style="23" customWidth="1"/>
  </cols>
  <sheetData>
    <row r="2" spans="2:4" ht="23.25">
      <c r="B2" s="22" t="s">
        <v>199</v>
      </c>
      <c r="D2" s="24"/>
    </row>
    <row r="3" spans="6:8" ht="12.75">
      <c r="F3" s="26"/>
      <c r="G3" s="130" t="s">
        <v>22</v>
      </c>
      <c r="H3" s="131">
        <f>'User''s Guide'!$D$9</f>
        <v>41153</v>
      </c>
    </row>
    <row r="4" ht="18">
      <c r="B4" s="27" t="s">
        <v>21</v>
      </c>
    </row>
    <row r="6" spans="2:7" ht="39" customHeight="1">
      <c r="B6" s="303" t="s">
        <v>23</v>
      </c>
      <c r="C6" s="303"/>
      <c r="D6" s="303"/>
      <c r="E6" s="303"/>
      <c r="F6" s="303"/>
      <c r="G6" s="303"/>
    </row>
    <row r="7" spans="3:6" ht="12.75">
      <c r="C7" s="30"/>
      <c r="D7" s="30"/>
      <c r="E7" s="30"/>
      <c r="F7" s="30"/>
    </row>
    <row r="8" spans="2:7" s="31" customFormat="1" ht="15.75">
      <c r="B8" s="304" t="s">
        <v>24</v>
      </c>
      <c r="C8" s="304" t="s">
        <v>25</v>
      </c>
      <c r="D8" s="307" t="s">
        <v>26</v>
      </c>
      <c r="E8" s="308"/>
      <c r="F8" s="308"/>
      <c r="G8" s="309"/>
    </row>
    <row r="9" spans="2:9" s="31" customFormat="1" ht="39" thickBot="1">
      <c r="B9" s="305"/>
      <c r="C9" s="306"/>
      <c r="D9" s="32" t="s">
        <v>27</v>
      </c>
      <c r="E9" s="33" t="s">
        <v>28</v>
      </c>
      <c r="F9" s="33" t="s">
        <v>29</v>
      </c>
      <c r="G9" s="33" t="s">
        <v>30</v>
      </c>
      <c r="I9" s="34" t="s">
        <v>31</v>
      </c>
    </row>
    <row r="10" spans="2:9" s="31" customFormat="1" ht="33" customHeight="1">
      <c r="B10" s="35" t="s">
        <v>32</v>
      </c>
      <c r="C10" s="36" t="s">
        <v>33</v>
      </c>
      <c r="D10" s="37">
        <v>1</v>
      </c>
      <c r="E10" s="38">
        <v>1</v>
      </c>
      <c r="F10" s="39" t="s">
        <v>34</v>
      </c>
      <c r="G10" s="40">
        <f>D10</f>
        <v>1</v>
      </c>
      <c r="I10" s="134" t="str">
        <f>IF(D10=E10,IF(D11=E11,"Y","N"),"N")</f>
        <v>Y</v>
      </c>
    </row>
    <row r="11" spans="2:9" s="31" customFormat="1" ht="33" customHeight="1">
      <c r="B11" s="41" t="s">
        <v>32</v>
      </c>
      <c r="C11" s="36" t="s">
        <v>35</v>
      </c>
      <c r="D11" s="37">
        <v>1</v>
      </c>
      <c r="E11" s="38">
        <v>1</v>
      </c>
      <c r="F11" s="39" t="s">
        <v>34</v>
      </c>
      <c r="G11" s="40">
        <f>D11</f>
        <v>1</v>
      </c>
      <c r="I11" s="100" t="str">
        <f>IF(D13=E13,IF(D14=E14,IF(D15=E15,IF(D16=E16,"Y","N"),"N"),"N"),"N")</f>
        <v>Y</v>
      </c>
    </row>
    <row r="12" spans="2:7" s="31" customFormat="1" ht="12.75">
      <c r="B12" s="42"/>
      <c r="C12" s="69"/>
      <c r="D12" s="70"/>
      <c r="E12" s="70"/>
      <c r="F12" s="70"/>
      <c r="G12" s="43"/>
    </row>
    <row r="13" spans="2:9" s="31" customFormat="1" ht="33" customHeight="1">
      <c r="B13" s="72" t="s">
        <v>36</v>
      </c>
      <c r="C13" s="72" t="s">
        <v>106</v>
      </c>
      <c r="D13" s="101">
        <v>1</v>
      </c>
      <c r="E13" s="102">
        <v>1</v>
      </c>
      <c r="F13" s="94" t="s">
        <v>108</v>
      </c>
      <c r="G13" s="105">
        <f>IF($I$10="Y",D13,E13)</f>
        <v>1</v>
      </c>
      <c r="I13" s="135" t="s">
        <v>138</v>
      </c>
    </row>
    <row r="14" spans="2:9" s="31" customFormat="1" ht="33" customHeight="1">
      <c r="B14" s="97" t="s">
        <v>36</v>
      </c>
      <c r="C14" s="97" t="s">
        <v>107</v>
      </c>
      <c r="D14" s="103">
        <v>1</v>
      </c>
      <c r="E14" s="104">
        <v>1</v>
      </c>
      <c r="F14" s="96" t="s">
        <v>108</v>
      </c>
      <c r="G14" s="106">
        <f>IF($I$10="Y",D14,E14)</f>
        <v>1</v>
      </c>
      <c r="I14" s="136" t="str">
        <f>IF(D13=E13,IF(D14=E14,IF(D15=E15,IF(D16=E16,"Y","N"),"N"),"N"),"N")</f>
        <v>Y</v>
      </c>
    </row>
    <row r="15" spans="2:7" s="31" customFormat="1" ht="33" customHeight="1">
      <c r="B15" s="97" t="s">
        <v>36</v>
      </c>
      <c r="C15" s="97" t="s">
        <v>109</v>
      </c>
      <c r="D15" s="103">
        <v>1</v>
      </c>
      <c r="E15" s="104">
        <v>1</v>
      </c>
      <c r="F15" s="96" t="s">
        <v>108</v>
      </c>
      <c r="G15" s="106">
        <f>IF($I$10="Y",D15,E15)</f>
        <v>1</v>
      </c>
    </row>
    <row r="16" spans="2:9" s="31" customFormat="1" ht="33" customHeight="1">
      <c r="B16" s="73" t="s">
        <v>36</v>
      </c>
      <c r="C16" s="73" t="s">
        <v>110</v>
      </c>
      <c r="D16" s="98">
        <v>0.15</v>
      </c>
      <c r="E16" s="71">
        <v>0.15</v>
      </c>
      <c r="F16" s="99" t="s">
        <v>111</v>
      </c>
      <c r="G16" s="95">
        <f>IF($I$10="Y",D16,E16)</f>
        <v>0.15</v>
      </c>
      <c r="I16" s="44" t="s">
        <v>37</v>
      </c>
    </row>
    <row r="17" s="31" customFormat="1" ht="21.75" customHeight="1">
      <c r="I17" s="132" t="s">
        <v>84</v>
      </c>
    </row>
    <row r="18" spans="2:9" s="31" customFormat="1" ht="15.75" customHeight="1">
      <c r="B18"/>
      <c r="C18" s="45"/>
      <c r="D18" s="46"/>
      <c r="E18" s="47"/>
      <c r="F18" s="48"/>
      <c r="G18" s="49"/>
      <c r="I18" s="133" t="s">
        <v>137</v>
      </c>
    </row>
    <row r="19" spans="2:7" s="31" customFormat="1" ht="27" customHeight="1">
      <c r="B19" s="310">
        <f>IF($I$10="N",IF($I$11="N","Reminder: Please reset all summary parameters to original values before changing specific parameters.  Specific parameters will only be used in ERR computation when all summary parameters are set to initial values",0),0)</f>
        <v>0</v>
      </c>
      <c r="C19" s="310"/>
      <c r="D19" s="310"/>
      <c r="E19" s="310"/>
      <c r="F19" s="310"/>
      <c r="G19" s="310"/>
    </row>
    <row r="20" spans="2:4" ht="15">
      <c r="B20"/>
      <c r="C20" s="50"/>
      <c r="D20" s="51"/>
    </row>
    <row r="21" spans="3:5" ht="12.75">
      <c r="C21" s="52" t="s">
        <v>38</v>
      </c>
      <c r="D21" s="53">
        <f>'Cost-Benefit Summary'!C17</f>
        <v>0.2596522694983783</v>
      </c>
      <c r="E21" s="54" t="s">
        <v>39</v>
      </c>
    </row>
    <row r="22" spans="3:5" ht="12.75">
      <c r="C22" s="52"/>
      <c r="D22" s="55"/>
      <c r="E22" s="56"/>
    </row>
    <row r="23" spans="3:6" ht="12.75">
      <c r="C23" s="84" t="s">
        <v>98</v>
      </c>
      <c r="D23" s="85"/>
      <c r="E23" s="86" t="s">
        <v>99</v>
      </c>
      <c r="F23" s="137" t="s">
        <v>100</v>
      </c>
    </row>
    <row r="24" spans="3:6" ht="12.75">
      <c r="C24" s="84"/>
      <c r="D24" s="87" t="s">
        <v>19</v>
      </c>
      <c r="E24" s="88">
        <v>0.126</v>
      </c>
      <c r="F24" s="138">
        <f>D21</f>
        <v>0.2596522694983783</v>
      </c>
    </row>
    <row r="25" spans="3:6" ht="12.75">
      <c r="C25" s="84"/>
      <c r="D25" s="87" t="s">
        <v>139</v>
      </c>
      <c r="E25" s="88" t="s">
        <v>140</v>
      </c>
      <c r="F25" s="138" t="s">
        <v>39</v>
      </c>
    </row>
    <row r="26" spans="3:6" ht="12.75">
      <c r="C26" s="89"/>
      <c r="D26" s="87" t="s">
        <v>91</v>
      </c>
      <c r="E26" s="90">
        <v>38960</v>
      </c>
      <c r="F26" s="139">
        <v>41153</v>
      </c>
    </row>
    <row r="28" spans="3:5" s="89" customFormat="1" ht="12.75">
      <c r="C28" s="148" t="s">
        <v>145</v>
      </c>
      <c r="D28" s="149">
        <f>'Cost-Benefit Summary'!C14</f>
        <v>74041542.52811125</v>
      </c>
      <c r="E28" s="184" t="s">
        <v>154</v>
      </c>
    </row>
    <row r="29" spans="3:4" s="89" customFormat="1" ht="12.75">
      <c r="C29" s="148"/>
      <c r="D29" s="150"/>
    </row>
    <row r="30" spans="3:5" s="89" customFormat="1" ht="12.75">
      <c r="C30" s="148" t="s">
        <v>146</v>
      </c>
      <c r="D30" s="149">
        <f>'Cost-Benefit Summary'!C15</f>
        <v>35914746.985862136</v>
      </c>
      <c r="E30" s="184" t="s">
        <v>154</v>
      </c>
    </row>
    <row r="79" spans="3:7" ht="12.75">
      <c r="C79" s="302"/>
      <c r="D79" s="302"/>
      <c r="E79" s="302"/>
      <c r="F79" s="302"/>
      <c r="G79" s="302"/>
    </row>
  </sheetData>
  <sheetProtection/>
  <mergeCells count="6">
    <mergeCell ref="C79:G79"/>
    <mergeCell ref="B6:G6"/>
    <mergeCell ref="B8:B9"/>
    <mergeCell ref="C8:C9"/>
    <mergeCell ref="D8:G8"/>
    <mergeCell ref="B19:G19"/>
  </mergeCells>
  <conditionalFormatting sqref="B19">
    <cfRule type="cellIs" priority="1" dxfId="6" operator="equal" stopIfTrue="1">
      <formula>0</formula>
    </cfRule>
    <cfRule type="cellIs" priority="2" dxfId="7" operator="notEqual" stopIfTrue="1">
      <formula>0</formula>
    </cfRule>
  </conditionalFormatting>
  <hyperlinks>
    <hyperlink ref="I17" location="'Project Description'!A1" display="Project Description"/>
    <hyperlink ref="I18" location="'User''s Guide'!A1" display="User's Guide"/>
  </hyperlinks>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2:W42"/>
  <sheetViews>
    <sheetView zoomScalePageLayoutView="0" workbookViewId="0" topLeftCell="J1">
      <selection activeCell="A1" sqref="A1"/>
    </sheetView>
  </sheetViews>
  <sheetFormatPr defaultColWidth="9.140625" defaultRowHeight="15"/>
  <cols>
    <col min="1" max="1" width="7.7109375" style="67" customWidth="1"/>
    <col min="2" max="2" width="40.28125" style="0" customWidth="1"/>
    <col min="3" max="3" width="14.421875" style="0" bestFit="1" customWidth="1"/>
    <col min="4" max="4" width="14.57421875" style="0" customWidth="1"/>
    <col min="5" max="22" width="13.421875" style="0" customWidth="1"/>
  </cols>
  <sheetData>
    <row r="1" s="67" customFormat="1" ht="12.75" customHeight="1"/>
    <row r="2" s="67" customFormat="1" ht="20.25">
      <c r="B2" s="22" t="s">
        <v>199</v>
      </c>
    </row>
    <row r="3" spans="5:8" s="23" customFormat="1" ht="12.75">
      <c r="E3" s="25"/>
      <c r="F3" s="26"/>
      <c r="G3" s="130" t="s">
        <v>22</v>
      </c>
      <c r="H3" s="131">
        <f>'User''s Guide'!$D$9</f>
        <v>41153</v>
      </c>
    </row>
    <row r="4" spans="2:5" s="23" customFormat="1" ht="18">
      <c r="B4" s="27" t="s">
        <v>141</v>
      </c>
      <c r="E4" s="25"/>
    </row>
    <row r="5" spans="2:7" ht="28.5" customHeight="1">
      <c r="B5" s="310">
        <f>IF('ERR &amp; Sensitivity Analysis'!$I$10="N",IF('ERR &amp; Sensitivity Analysis'!$I$11="N","Reminder: Please reset all summary parameters to original values before changing specific parameters.  Specific parameters will only be used in ERR computation when all summary parameters are set to initial values",0),0)</f>
        <v>0</v>
      </c>
      <c r="C5" s="310"/>
      <c r="D5" s="310"/>
      <c r="E5" s="310"/>
      <c r="F5" s="310"/>
      <c r="G5" s="310"/>
    </row>
    <row r="6" spans="2:5" s="23" customFormat="1" ht="18">
      <c r="B6" s="27"/>
      <c r="E6" s="25"/>
    </row>
    <row r="7" spans="2:22" ht="15">
      <c r="B7" s="140" t="s">
        <v>12</v>
      </c>
      <c r="C7" s="140">
        <v>2008</v>
      </c>
      <c r="D7" s="140">
        <v>2009</v>
      </c>
      <c r="E7" s="140">
        <v>2010</v>
      </c>
      <c r="F7" s="140">
        <v>2011</v>
      </c>
      <c r="G7" s="140">
        <v>2012</v>
      </c>
      <c r="H7" s="140">
        <v>2013</v>
      </c>
      <c r="I7" s="140">
        <v>2014</v>
      </c>
      <c r="J7" s="140">
        <v>2015</v>
      </c>
      <c r="K7" s="140">
        <v>2016</v>
      </c>
      <c r="L7" s="140">
        <v>2017</v>
      </c>
      <c r="M7" s="140">
        <v>2018</v>
      </c>
      <c r="N7" s="140">
        <v>2019</v>
      </c>
      <c r="O7" s="140">
        <v>2020</v>
      </c>
      <c r="P7" s="140">
        <v>2021</v>
      </c>
      <c r="Q7" s="140">
        <v>2022</v>
      </c>
      <c r="R7" s="140">
        <v>2023</v>
      </c>
      <c r="S7" s="140">
        <v>2024</v>
      </c>
      <c r="T7" s="140">
        <v>2025</v>
      </c>
      <c r="U7" s="140">
        <v>2026</v>
      </c>
      <c r="V7" s="140">
        <v>2027</v>
      </c>
    </row>
    <row r="8" spans="2:22" ht="15">
      <c r="B8" s="9" t="s">
        <v>11</v>
      </c>
      <c r="C8" s="141">
        <v>0</v>
      </c>
      <c r="D8" s="141">
        <v>0</v>
      </c>
      <c r="E8" s="141">
        <v>0.25</v>
      </c>
      <c r="F8" s="141">
        <v>1</v>
      </c>
      <c r="G8" s="141">
        <v>1</v>
      </c>
      <c r="H8" s="141">
        <v>1</v>
      </c>
      <c r="I8" s="141">
        <v>1</v>
      </c>
      <c r="J8" s="141">
        <v>1</v>
      </c>
      <c r="K8" s="141">
        <v>1</v>
      </c>
      <c r="L8" s="141">
        <v>1</v>
      </c>
      <c r="M8" s="141">
        <v>1</v>
      </c>
      <c r="N8" s="141">
        <v>1</v>
      </c>
      <c r="O8" s="141">
        <v>1</v>
      </c>
      <c r="P8" s="141">
        <v>1</v>
      </c>
      <c r="Q8" s="141">
        <v>1</v>
      </c>
      <c r="R8" s="141">
        <v>1</v>
      </c>
      <c r="S8" s="141">
        <v>1</v>
      </c>
      <c r="T8" s="141">
        <v>1</v>
      </c>
      <c r="U8" s="141">
        <v>1</v>
      </c>
      <c r="V8" s="141">
        <v>1</v>
      </c>
    </row>
    <row r="9" spans="2:22" ht="15">
      <c r="B9" s="13" t="s">
        <v>190</v>
      </c>
      <c r="C9" s="64">
        <f aca="true" t="shared" si="0" ref="C9:V9">C8*SUMPRODUCT($D$36:$G$36,$D$34:$G$34,$D$26:$G$26)*$D$23</f>
        <v>0</v>
      </c>
      <c r="D9" s="64">
        <f t="shared" si="0"/>
        <v>0</v>
      </c>
      <c r="E9" s="64">
        <f t="shared" si="0"/>
        <v>3258243.638113785</v>
      </c>
      <c r="F9" s="64">
        <f t="shared" si="0"/>
        <v>13032974.55245514</v>
      </c>
      <c r="G9" s="64">
        <f t="shared" si="0"/>
        <v>13032974.55245514</v>
      </c>
      <c r="H9" s="64">
        <f t="shared" si="0"/>
        <v>13032974.55245514</v>
      </c>
      <c r="I9" s="64">
        <f t="shared" si="0"/>
        <v>13032974.55245514</v>
      </c>
      <c r="J9" s="64">
        <f t="shared" si="0"/>
        <v>13032974.55245514</v>
      </c>
      <c r="K9" s="64">
        <f t="shared" si="0"/>
        <v>13032974.55245514</v>
      </c>
      <c r="L9" s="64">
        <f t="shared" si="0"/>
        <v>13032974.55245514</v>
      </c>
      <c r="M9" s="64">
        <f t="shared" si="0"/>
        <v>13032974.55245514</v>
      </c>
      <c r="N9" s="64">
        <f t="shared" si="0"/>
        <v>13032974.55245514</v>
      </c>
      <c r="O9" s="64">
        <f t="shared" si="0"/>
        <v>13032974.55245514</v>
      </c>
      <c r="P9" s="64">
        <f t="shared" si="0"/>
        <v>13032974.55245514</v>
      </c>
      <c r="Q9" s="64">
        <f t="shared" si="0"/>
        <v>13032974.55245514</v>
      </c>
      <c r="R9" s="64">
        <f t="shared" si="0"/>
        <v>13032974.55245514</v>
      </c>
      <c r="S9" s="64">
        <f t="shared" si="0"/>
        <v>13032974.55245514</v>
      </c>
      <c r="T9" s="64">
        <f t="shared" si="0"/>
        <v>13032974.55245514</v>
      </c>
      <c r="U9" s="64">
        <f t="shared" si="0"/>
        <v>13032974.55245514</v>
      </c>
      <c r="V9" s="64">
        <f t="shared" si="0"/>
        <v>13032974.55245514</v>
      </c>
    </row>
    <row r="10" spans="2:22" s="67" customFormat="1" ht="15">
      <c r="B10" s="13" t="s">
        <v>149</v>
      </c>
      <c r="C10" s="64">
        <f aca="true" t="shared" si="1" ref="C10:V10">C9*($C$40/$H$40)</f>
        <v>0</v>
      </c>
      <c r="D10" s="64">
        <f t="shared" si="1"/>
        <v>0</v>
      </c>
      <c r="E10" s="64">
        <f t="shared" si="1"/>
        <v>2978560.6584278317</v>
      </c>
      <c r="F10" s="64">
        <f t="shared" si="1"/>
        <v>11914242.633711327</v>
      </c>
      <c r="G10" s="64">
        <f t="shared" si="1"/>
        <v>11914242.633711327</v>
      </c>
      <c r="H10" s="64">
        <f t="shared" si="1"/>
        <v>11914242.633711327</v>
      </c>
      <c r="I10" s="64">
        <f t="shared" si="1"/>
        <v>11914242.633711327</v>
      </c>
      <c r="J10" s="64">
        <f t="shared" si="1"/>
        <v>11914242.633711327</v>
      </c>
      <c r="K10" s="64">
        <f t="shared" si="1"/>
        <v>11914242.633711327</v>
      </c>
      <c r="L10" s="64">
        <f t="shared" si="1"/>
        <v>11914242.633711327</v>
      </c>
      <c r="M10" s="64">
        <f t="shared" si="1"/>
        <v>11914242.633711327</v>
      </c>
      <c r="N10" s="64">
        <f t="shared" si="1"/>
        <v>11914242.633711327</v>
      </c>
      <c r="O10" s="64">
        <f t="shared" si="1"/>
        <v>11914242.633711327</v>
      </c>
      <c r="P10" s="64">
        <f t="shared" si="1"/>
        <v>11914242.633711327</v>
      </c>
      <c r="Q10" s="64">
        <f t="shared" si="1"/>
        <v>11914242.633711327</v>
      </c>
      <c r="R10" s="64">
        <f t="shared" si="1"/>
        <v>11914242.633711327</v>
      </c>
      <c r="S10" s="64">
        <f t="shared" si="1"/>
        <v>11914242.633711327</v>
      </c>
      <c r="T10" s="64">
        <f t="shared" si="1"/>
        <v>11914242.633711327</v>
      </c>
      <c r="U10" s="64">
        <f t="shared" si="1"/>
        <v>11914242.633711327</v>
      </c>
      <c r="V10" s="64">
        <f t="shared" si="1"/>
        <v>11914242.633711327</v>
      </c>
    </row>
    <row r="11" spans="1:22" s="9" customFormat="1" ht="15">
      <c r="A11" s="67"/>
      <c r="B11" s="13" t="s">
        <v>191</v>
      </c>
      <c r="C11" s="64">
        <f>(SUMPRODUCT($D$27:$G$27,$D$26:$G$26))*'Cost Assumptions'!C8*$D$21</f>
        <v>5261495.528759488</v>
      </c>
      <c r="D11" s="64">
        <f>(SUMPRODUCT($D$27:$G$27,$D$26:$G$26))*'Cost Assumptions'!D8*$D$21</f>
        <v>11615502.609345337</v>
      </c>
      <c r="E11" s="64">
        <f>(SUMPRODUCT($D$27:$G$27,$D$26:$G$26))*'Cost Assumptions'!E8*$D$21</f>
        <v>11995003.27462844</v>
      </c>
      <c r="F11" s="64">
        <f>(SUMPRODUCT($D$27:$G$27,$D$26:$G$26))*'Cost Assumptions'!F8*$D$21</f>
        <v>13465813.99128551</v>
      </c>
      <c r="G11" s="64">
        <f>(SUMPRODUCT($D$27:$G$27,$D$26:$G$26))*'Cost Assumptions'!G8*$D$21</f>
        <v>10782320.617598318</v>
      </c>
      <c r="H11" s="64"/>
      <c r="I11" s="64"/>
      <c r="J11" s="64"/>
      <c r="K11" s="64"/>
      <c r="L11" s="64"/>
      <c r="M11" s="64"/>
      <c r="N11" s="64"/>
      <c r="O11" s="64"/>
      <c r="P11" s="64"/>
      <c r="Q11" s="64"/>
      <c r="R11" s="64"/>
      <c r="S11" s="64"/>
      <c r="T11" s="64"/>
      <c r="U11" s="64"/>
      <c r="V11" s="64"/>
    </row>
    <row r="12" spans="2:22" s="67" customFormat="1" ht="15">
      <c r="B12" s="18" t="s">
        <v>150</v>
      </c>
      <c r="C12" s="142">
        <f>C11*($C$40/$H$40)</f>
        <v>4809856.268308215</v>
      </c>
      <c r="D12" s="142">
        <f>D11*($C$40/$H$40)</f>
        <v>10618444.457422623</v>
      </c>
      <c r="E12" s="142">
        <f>E11*($C$40/$H$40)</f>
        <v>10965369.327692242</v>
      </c>
      <c r="F12" s="142">
        <f>F11*($C$40/$H$40)</f>
        <v>12309927.753398223</v>
      </c>
      <c r="G12" s="142">
        <f>G11*($C$40/$H$40)</f>
        <v>9856781.617695611</v>
      </c>
      <c r="H12" s="142"/>
      <c r="I12" s="142"/>
      <c r="J12" s="142"/>
      <c r="K12" s="142"/>
      <c r="L12" s="142"/>
      <c r="M12" s="142"/>
      <c r="N12" s="142"/>
      <c r="O12" s="142"/>
      <c r="P12" s="142"/>
      <c r="Q12" s="142"/>
      <c r="R12" s="142"/>
      <c r="S12" s="142"/>
      <c r="T12" s="142"/>
      <c r="U12" s="142"/>
      <c r="V12" s="142"/>
    </row>
    <row r="13" spans="2:22" ht="15">
      <c r="B13" s="21" t="s">
        <v>153</v>
      </c>
      <c r="C13" s="65">
        <f aca="true" t="shared" si="2" ref="C13:V13">C10-C12</f>
        <v>-4809856.268308215</v>
      </c>
      <c r="D13" s="65">
        <f t="shared" si="2"/>
        <v>-10618444.457422623</v>
      </c>
      <c r="E13" s="65">
        <f t="shared" si="2"/>
        <v>-7986808.669264411</v>
      </c>
      <c r="F13" s="65">
        <f t="shared" si="2"/>
        <v>-395685.119686896</v>
      </c>
      <c r="G13" s="65">
        <f t="shared" si="2"/>
        <v>2057461.016015716</v>
      </c>
      <c r="H13" s="65">
        <f t="shared" si="2"/>
        <v>11914242.633711327</v>
      </c>
      <c r="I13" s="65">
        <f t="shared" si="2"/>
        <v>11914242.633711327</v>
      </c>
      <c r="J13" s="65">
        <f t="shared" si="2"/>
        <v>11914242.633711327</v>
      </c>
      <c r="K13" s="65">
        <f t="shared" si="2"/>
        <v>11914242.633711327</v>
      </c>
      <c r="L13" s="65">
        <f t="shared" si="2"/>
        <v>11914242.633711327</v>
      </c>
      <c r="M13" s="65">
        <f t="shared" si="2"/>
        <v>11914242.633711327</v>
      </c>
      <c r="N13" s="65">
        <f t="shared" si="2"/>
        <v>11914242.633711327</v>
      </c>
      <c r="O13" s="65">
        <f t="shared" si="2"/>
        <v>11914242.633711327</v>
      </c>
      <c r="P13" s="65">
        <f t="shared" si="2"/>
        <v>11914242.633711327</v>
      </c>
      <c r="Q13" s="65">
        <f t="shared" si="2"/>
        <v>11914242.633711327</v>
      </c>
      <c r="R13" s="65">
        <f t="shared" si="2"/>
        <v>11914242.633711327</v>
      </c>
      <c r="S13" s="65">
        <f t="shared" si="2"/>
        <v>11914242.633711327</v>
      </c>
      <c r="T13" s="65">
        <f t="shared" si="2"/>
        <v>11914242.633711327</v>
      </c>
      <c r="U13" s="65">
        <f t="shared" si="2"/>
        <v>11914242.633711327</v>
      </c>
      <c r="V13" s="182">
        <f t="shared" si="2"/>
        <v>11914242.633711327</v>
      </c>
    </row>
    <row r="14" spans="2:22" s="67" customFormat="1" ht="15">
      <c r="B14" s="19" t="s">
        <v>187</v>
      </c>
      <c r="C14" s="151">
        <f>NPV(0.1,C10:V10)</f>
        <v>74041542.52811125</v>
      </c>
      <c r="D14" s="277" t="s">
        <v>186</v>
      </c>
      <c r="E14" s="7"/>
      <c r="F14" s="7"/>
      <c r="G14" s="28"/>
      <c r="H14" s="29"/>
      <c r="I14" s="7"/>
      <c r="J14" s="7"/>
      <c r="K14" s="7"/>
      <c r="L14" s="7"/>
      <c r="M14" s="7"/>
      <c r="N14" s="7"/>
      <c r="O14" s="7"/>
      <c r="P14" s="7"/>
      <c r="Q14" s="7"/>
      <c r="R14" s="7"/>
      <c r="S14" s="7"/>
      <c r="T14" s="7"/>
      <c r="U14" s="7"/>
      <c r="V14" s="7"/>
    </row>
    <row r="15" spans="2:22" s="67" customFormat="1" ht="15">
      <c r="B15" s="19" t="s">
        <v>188</v>
      </c>
      <c r="C15" s="151">
        <f>NPV(0.1,C12:V12)</f>
        <v>35914746.985862136</v>
      </c>
      <c r="D15" s="277" t="s">
        <v>186</v>
      </c>
      <c r="E15" s="7"/>
      <c r="F15" s="7"/>
      <c r="G15" s="28"/>
      <c r="H15" s="29"/>
      <c r="I15" s="7"/>
      <c r="J15" s="7"/>
      <c r="K15" s="7"/>
      <c r="L15" s="7"/>
      <c r="M15" s="7"/>
      <c r="N15" s="7"/>
      <c r="O15" s="7"/>
      <c r="P15" s="7"/>
      <c r="Q15" s="7"/>
      <c r="R15" s="7"/>
      <c r="S15" s="7"/>
      <c r="T15" s="7"/>
      <c r="U15" s="7"/>
      <c r="V15" s="7"/>
    </row>
    <row r="16" spans="2:22" ht="15">
      <c r="B16" s="19" t="s">
        <v>189</v>
      </c>
      <c r="C16" s="146">
        <f>NPV(0.1,C13:V13)</f>
        <v>38126795.54224912</v>
      </c>
      <c r="D16" s="277" t="s">
        <v>186</v>
      </c>
      <c r="E16" s="20"/>
      <c r="F16" s="7"/>
      <c r="G16" s="7"/>
      <c r="H16" s="7"/>
      <c r="I16" s="7"/>
      <c r="P16" s="7"/>
      <c r="Q16" s="7"/>
      <c r="R16" s="7"/>
      <c r="S16" s="7"/>
      <c r="T16" s="7"/>
      <c r="U16" s="7"/>
      <c r="V16" s="7"/>
    </row>
    <row r="17" spans="2:22" ht="15">
      <c r="B17" s="19" t="s">
        <v>19</v>
      </c>
      <c r="C17" s="53">
        <f>IRR(C13:V13,-0.2)</f>
        <v>0.2596522694983783</v>
      </c>
      <c r="D17" s="7"/>
      <c r="F17" s="67"/>
      <c r="G17" s="7"/>
      <c r="H17" s="7"/>
      <c r="I17" s="7"/>
      <c r="P17" s="7"/>
      <c r="Q17" s="7"/>
      <c r="R17" s="7"/>
      <c r="S17" s="7"/>
      <c r="T17" s="7"/>
      <c r="U17" s="7"/>
      <c r="V17" s="7"/>
    </row>
    <row r="18" spans="3:15" ht="15">
      <c r="C18" s="183"/>
      <c r="J18" s="144"/>
      <c r="K18" s="144"/>
      <c r="L18" s="144"/>
      <c r="M18" s="144"/>
      <c r="N18" s="144"/>
      <c r="O18" s="144"/>
    </row>
    <row r="19" spans="3:15" s="67" customFormat="1" ht="15">
      <c r="C19" s="1"/>
      <c r="J19" s="144"/>
      <c r="K19" s="144"/>
      <c r="L19" s="144"/>
      <c r="M19" s="144"/>
      <c r="N19" s="144"/>
      <c r="O19" s="144"/>
    </row>
    <row r="20" spans="2:15" s="67" customFormat="1" ht="15">
      <c r="B20" s="143" t="s">
        <v>142</v>
      </c>
      <c r="C20" s="144"/>
      <c r="D20" s="144"/>
      <c r="E20" s="144"/>
      <c r="F20" s="144"/>
      <c r="G20" s="144"/>
      <c r="J20" s="144"/>
      <c r="K20" s="144"/>
      <c r="L20" s="144"/>
      <c r="M20" s="144"/>
      <c r="N20" s="144"/>
      <c r="O20" s="144"/>
    </row>
    <row r="21" spans="2:15" s="67" customFormat="1" ht="15">
      <c r="B21" s="144" t="s">
        <v>33</v>
      </c>
      <c r="C21" s="144"/>
      <c r="D21" s="145">
        <f>'ERR &amp; Sensitivity Analysis'!$G$10</f>
        <v>1</v>
      </c>
      <c r="E21" s="144"/>
      <c r="F21" s="67" t="s">
        <v>110</v>
      </c>
      <c r="I21" s="145">
        <f>'ERR &amp; Sensitivity Analysis'!$G$16</f>
        <v>0.15</v>
      </c>
      <c r="J21" s="144"/>
      <c r="K21" s="144"/>
      <c r="L21" s="144"/>
      <c r="M21" s="144"/>
      <c r="N21" s="144"/>
      <c r="O21" s="144"/>
    </row>
    <row r="22" spans="2:15" s="67" customFormat="1" ht="15">
      <c r="B22" s="143" t="s">
        <v>143</v>
      </c>
      <c r="C22" s="144"/>
      <c r="D22" s="144"/>
      <c r="E22" s="144"/>
      <c r="F22" s="144"/>
      <c r="J22" s="144"/>
      <c r="K22" s="144"/>
      <c r="L22" s="144"/>
      <c r="M22" s="144"/>
      <c r="N22" s="144"/>
      <c r="O22" s="144"/>
    </row>
    <row r="23" spans="2:15" s="67" customFormat="1" ht="15">
      <c r="B23" s="144" t="s">
        <v>35</v>
      </c>
      <c r="C23" s="144"/>
      <c r="D23" s="145">
        <f>'ERR &amp; Sensitivity Analysis'!$G$11</f>
        <v>1</v>
      </c>
      <c r="E23" s="144"/>
      <c r="F23" s="144"/>
      <c r="J23" s="144"/>
      <c r="K23" s="144"/>
      <c r="L23" s="144"/>
      <c r="M23" s="144"/>
      <c r="N23" s="144"/>
      <c r="O23" s="144"/>
    </row>
    <row r="24" s="67" customFormat="1" ht="15">
      <c r="C24" s="1"/>
    </row>
    <row r="25" spans="2:9" ht="15">
      <c r="B25" s="3" t="s">
        <v>14</v>
      </c>
      <c r="C25" s="4" t="s">
        <v>15</v>
      </c>
      <c r="D25" s="4" t="s">
        <v>9</v>
      </c>
      <c r="E25" s="4" t="s">
        <v>49</v>
      </c>
      <c r="F25" s="4" t="s">
        <v>10</v>
      </c>
      <c r="G25" s="4" t="s">
        <v>50</v>
      </c>
      <c r="H25" s="4" t="s">
        <v>193</v>
      </c>
      <c r="I25" s="5"/>
    </row>
    <row r="26" spans="2:9" ht="15">
      <c r="B26" s="8" t="s">
        <v>51</v>
      </c>
      <c r="C26" s="9"/>
      <c r="D26" s="147">
        <f>'ERR &amp; Sensitivity Analysis'!$G$13</f>
        <v>1</v>
      </c>
      <c r="E26" s="147">
        <f>'ERR &amp; Sensitivity Analysis'!$G$14</f>
        <v>1</v>
      </c>
      <c r="F26" s="147">
        <f>'ERR &amp; Sensitivity Analysis'!$G$15</f>
        <v>1</v>
      </c>
      <c r="G26" s="13">
        <v>0</v>
      </c>
      <c r="H26" s="319" t="s">
        <v>144</v>
      </c>
      <c r="I26" s="320"/>
    </row>
    <row r="27" spans="2:9" ht="15">
      <c r="B27" s="8" t="s">
        <v>69</v>
      </c>
      <c r="C27" s="9" t="s">
        <v>116</v>
      </c>
      <c r="D27" s="63">
        <f>'Cost Assumptions'!J16</f>
        <v>0.299257352202946</v>
      </c>
      <c r="E27" s="63">
        <f>'Cost Assumptions'!J22</f>
        <v>0.07154563081863713</v>
      </c>
      <c r="F27" s="63">
        <f>'Cost Assumptions'!J18</f>
        <v>0.48279814336343263</v>
      </c>
      <c r="G27" s="66">
        <f>1-SUM(D27:F27)</f>
        <v>0.14639887361498416</v>
      </c>
      <c r="H27" s="9"/>
      <c r="I27" s="10"/>
    </row>
    <row r="28" spans="2:9" ht="15">
      <c r="B28" s="8" t="s">
        <v>6</v>
      </c>
      <c r="C28" s="9" t="s">
        <v>7</v>
      </c>
      <c r="D28" s="14">
        <v>2017</v>
      </c>
      <c r="E28" s="14">
        <v>22</v>
      </c>
      <c r="F28" s="14">
        <f>1138*I21</f>
        <v>170.7</v>
      </c>
      <c r="G28" s="14">
        <f>F28</f>
        <v>170.7</v>
      </c>
      <c r="H28" s="311"/>
      <c r="I28" s="312"/>
    </row>
    <row r="29" spans="2:9" ht="15">
      <c r="B29" s="8" t="s">
        <v>41</v>
      </c>
      <c r="C29" s="9" t="s">
        <v>13</v>
      </c>
      <c r="D29" s="15">
        <v>0.79</v>
      </c>
      <c r="E29" s="15">
        <v>0.65</v>
      </c>
      <c r="F29" s="15">
        <v>1</v>
      </c>
      <c r="G29" s="15">
        <v>1</v>
      </c>
      <c r="H29" s="313"/>
      <c r="I29" s="314"/>
    </row>
    <row r="30" spans="2:9" ht="15">
      <c r="B30" s="8" t="s">
        <v>43</v>
      </c>
      <c r="C30" s="13" t="s">
        <v>44</v>
      </c>
      <c r="D30" s="58">
        <v>0.21</v>
      </c>
      <c r="E30" s="58">
        <v>0.17</v>
      </c>
      <c r="F30" s="58">
        <v>0</v>
      </c>
      <c r="G30" s="58"/>
      <c r="H30" s="59"/>
      <c r="I30" s="60"/>
    </row>
    <row r="31" spans="2:9" ht="15" customHeight="1">
      <c r="B31" s="16" t="s">
        <v>42</v>
      </c>
      <c r="C31" s="13" t="s">
        <v>17</v>
      </c>
      <c r="D31" s="17">
        <f>90/21/2</f>
        <v>2.142857142857143</v>
      </c>
      <c r="E31" s="17">
        <f>90/21/2</f>
        <v>2.142857142857143</v>
      </c>
      <c r="F31" s="17">
        <f>90/21/2</f>
        <v>2.142857142857143</v>
      </c>
      <c r="G31" s="17">
        <f>90/21/2</f>
        <v>2.142857142857143</v>
      </c>
      <c r="H31" s="317" t="s">
        <v>40</v>
      </c>
      <c r="I31" s="318"/>
    </row>
    <row r="32" spans="2:9" ht="15">
      <c r="B32" s="16" t="s">
        <v>48</v>
      </c>
      <c r="C32" s="13" t="s">
        <v>17</v>
      </c>
      <c r="D32" s="17">
        <f>90/21</f>
        <v>4.285714285714286</v>
      </c>
      <c r="E32" s="17">
        <v>6.1</v>
      </c>
      <c r="F32" s="17"/>
      <c r="G32" s="17"/>
      <c r="H32" s="317"/>
      <c r="I32" s="318"/>
    </row>
    <row r="33" spans="2:9" ht="15">
      <c r="B33" s="8" t="s">
        <v>16</v>
      </c>
      <c r="C33" s="9" t="s">
        <v>18</v>
      </c>
      <c r="D33" s="57">
        <v>250</v>
      </c>
      <c r="E33" s="57">
        <v>250</v>
      </c>
      <c r="F33" s="57">
        <v>250</v>
      </c>
      <c r="G33" s="57">
        <v>250</v>
      </c>
      <c r="H33" s="317"/>
      <c r="I33" s="318"/>
    </row>
    <row r="34" spans="2:9" ht="15">
      <c r="B34" s="8" t="s">
        <v>47</v>
      </c>
      <c r="C34" s="13" t="s">
        <v>45</v>
      </c>
      <c r="D34" s="9">
        <v>4285</v>
      </c>
      <c r="E34" s="9">
        <v>1005</v>
      </c>
      <c r="F34" s="9">
        <v>6962</v>
      </c>
      <c r="G34" s="9">
        <f>G35-SUM(D34:F34)</f>
        <v>4229</v>
      </c>
      <c r="H34" s="313"/>
      <c r="I34" s="314"/>
    </row>
    <row r="35" spans="2:9" ht="15">
      <c r="B35" s="11" t="s">
        <v>8</v>
      </c>
      <c r="C35" s="18" t="s">
        <v>45</v>
      </c>
      <c r="D35" s="12">
        <v>16481</v>
      </c>
      <c r="E35" s="12">
        <v>16481</v>
      </c>
      <c r="F35" s="12">
        <v>16481</v>
      </c>
      <c r="G35" s="12">
        <v>16481</v>
      </c>
      <c r="H35" s="315"/>
      <c r="I35" s="316"/>
    </row>
    <row r="36" spans="1:9" ht="15">
      <c r="A36" s="9"/>
      <c r="B36" s="278" t="s">
        <v>46</v>
      </c>
      <c r="C36" s="4"/>
      <c r="D36" s="279">
        <f>(D28/D29)+(D32-D31)*D33*(D30/D29)</f>
        <v>2695.5696202531644</v>
      </c>
      <c r="E36" s="279">
        <f>(E28/E29)+(E32-E31)*E33*(E30/E29)</f>
        <v>292.5824175824176</v>
      </c>
      <c r="F36" s="279">
        <f>(F28/F29)+(F32-F31)*F33*(F30/F29)</f>
        <v>170.7</v>
      </c>
      <c r="G36" s="279">
        <f>(G28/G29)+(G32-G31)*G33*(G30/G29)</f>
        <v>170.7</v>
      </c>
      <c r="H36" s="4"/>
      <c r="I36" s="5"/>
    </row>
    <row r="39" spans="2:23" s="67" customFormat="1" ht="15">
      <c r="B39" s="173" t="s">
        <v>152</v>
      </c>
      <c r="C39" s="165">
        <v>2007</v>
      </c>
      <c r="D39" s="165">
        <f>+C39+1</f>
        <v>2008</v>
      </c>
      <c r="E39" s="165">
        <f aca="true" t="shared" si="3" ref="E39:W39">+D39+1</f>
        <v>2009</v>
      </c>
      <c r="F39" s="165">
        <f t="shared" si="3"/>
        <v>2010</v>
      </c>
      <c r="G39" s="165">
        <f t="shared" si="3"/>
        <v>2011</v>
      </c>
      <c r="H39" s="165">
        <f t="shared" si="3"/>
        <v>2012</v>
      </c>
      <c r="I39" s="165">
        <f t="shared" si="3"/>
        <v>2013</v>
      </c>
      <c r="J39" s="165">
        <f t="shared" si="3"/>
        <v>2014</v>
      </c>
      <c r="K39" s="165">
        <f t="shared" si="3"/>
        <v>2015</v>
      </c>
      <c r="L39" s="165">
        <f t="shared" si="3"/>
        <v>2016</v>
      </c>
      <c r="M39" s="165">
        <f t="shared" si="3"/>
        <v>2017</v>
      </c>
      <c r="N39" s="165">
        <f t="shared" si="3"/>
        <v>2018</v>
      </c>
      <c r="O39" s="165">
        <f t="shared" si="3"/>
        <v>2019</v>
      </c>
      <c r="P39" s="165">
        <f t="shared" si="3"/>
        <v>2020</v>
      </c>
      <c r="Q39" s="165">
        <f t="shared" si="3"/>
        <v>2021</v>
      </c>
      <c r="R39" s="165">
        <f t="shared" si="3"/>
        <v>2022</v>
      </c>
      <c r="S39" s="165">
        <f t="shared" si="3"/>
        <v>2023</v>
      </c>
      <c r="T39" s="165">
        <f t="shared" si="3"/>
        <v>2024</v>
      </c>
      <c r="U39" s="165">
        <f t="shared" si="3"/>
        <v>2025</v>
      </c>
      <c r="V39" s="165">
        <f t="shared" si="3"/>
        <v>2026</v>
      </c>
      <c r="W39" s="175">
        <f t="shared" si="3"/>
        <v>2027</v>
      </c>
    </row>
    <row r="40" spans="2:23" s="67" customFormat="1" ht="15">
      <c r="B40" s="107" t="s">
        <v>118</v>
      </c>
      <c r="C40" s="108">
        <v>100</v>
      </c>
      <c r="D40" s="108">
        <v>103.79846699386299</v>
      </c>
      <c r="E40" s="108">
        <v>103.39237815258642</v>
      </c>
      <c r="F40" s="108">
        <v>105.17202720546102</v>
      </c>
      <c r="G40" s="108">
        <v>107.04219503890646</v>
      </c>
      <c r="H40" s="108">
        <v>109.38987020105134</v>
      </c>
      <c r="I40" s="108">
        <v>111.85214712208409</v>
      </c>
      <c r="J40" s="108">
        <v>114.34182881154655</v>
      </c>
      <c r="K40" s="108">
        <f>+J40*(1+$C$41)</f>
        <v>116.88403304245551</v>
      </c>
      <c r="L40" s="108">
        <f aca="true" t="shared" si="4" ref="L40:W40">+K40*(1+$C$41)</f>
        <v>119.48275904163445</v>
      </c>
      <c r="M40" s="108">
        <f t="shared" si="4"/>
        <v>122.13926347849235</v>
      </c>
      <c r="N40" s="108">
        <f t="shared" si="4"/>
        <v>124.85483096243462</v>
      </c>
      <c r="O40" s="108">
        <f t="shared" si="4"/>
        <v>127.63077466406337</v>
      </c>
      <c r="P40" s="108">
        <f t="shared" si="4"/>
        <v>130.4684369501891</v>
      </c>
      <c r="Q40" s="108">
        <f t="shared" si="4"/>
        <v>133.36919003296083</v>
      </c>
      <c r="R40" s="108">
        <f t="shared" si="4"/>
        <v>136.3344366334285</v>
      </c>
      <c r="S40" s="108">
        <f t="shared" si="4"/>
        <v>139.36561065985876</v>
      </c>
      <c r="T40" s="108">
        <f t="shared" si="4"/>
        <v>142.46417790113176</v>
      </c>
      <c r="U40" s="108">
        <f t="shared" si="4"/>
        <v>145.63163673555485</v>
      </c>
      <c r="V40" s="108">
        <f t="shared" si="4"/>
        <v>148.8695188554352</v>
      </c>
      <c r="W40" s="176">
        <f t="shared" si="4"/>
        <v>152.17939000776235</v>
      </c>
    </row>
    <row r="41" spans="2:23" ht="15">
      <c r="B41" s="164" t="s">
        <v>151</v>
      </c>
      <c r="C41" s="177">
        <f>+AVERAGE(H41:J41)</f>
        <v>0.022233370388879514</v>
      </c>
      <c r="D41" s="178"/>
      <c r="E41" s="178"/>
      <c r="F41" s="178"/>
      <c r="G41" s="178"/>
      <c r="H41" s="177">
        <f>+H40/G40-1</f>
        <v>0.021932240471073783</v>
      </c>
      <c r="I41" s="177">
        <f>+I40/H40-1</f>
        <v>0.022509185873493154</v>
      </c>
      <c r="J41" s="177">
        <f>+J40/I40-1</f>
        <v>0.022258684822071606</v>
      </c>
      <c r="K41" s="179"/>
      <c r="L41" s="179"/>
      <c r="M41" s="179"/>
      <c r="N41" s="179"/>
      <c r="O41" s="179"/>
      <c r="P41" s="179"/>
      <c r="Q41" s="179"/>
      <c r="R41" s="179"/>
      <c r="S41" s="179"/>
      <c r="T41" s="179"/>
      <c r="U41" s="179"/>
      <c r="V41" s="179"/>
      <c r="W41" s="180"/>
    </row>
    <row r="42" spans="1:23" ht="15">
      <c r="A42" s="9"/>
      <c r="B42" s="174"/>
      <c r="C42" s="172"/>
      <c r="D42" s="172"/>
      <c r="E42" s="172"/>
      <c r="F42" s="172"/>
      <c r="G42" s="172"/>
      <c r="H42" s="172"/>
      <c r="I42" s="172"/>
      <c r="J42" s="172"/>
      <c r="K42" s="172"/>
      <c r="L42" s="172"/>
      <c r="M42" s="172"/>
      <c r="N42" s="172"/>
      <c r="O42" s="172"/>
      <c r="P42" s="172"/>
      <c r="Q42" s="172"/>
      <c r="R42" s="172"/>
      <c r="S42" s="172"/>
      <c r="T42" s="172"/>
      <c r="U42" s="172"/>
      <c r="V42" s="172"/>
      <c r="W42" s="172"/>
    </row>
  </sheetData>
  <sheetProtection/>
  <mergeCells count="7">
    <mergeCell ref="H28:I28"/>
    <mergeCell ref="H29:I29"/>
    <mergeCell ref="H34:I34"/>
    <mergeCell ref="H35:I35"/>
    <mergeCell ref="B5:G5"/>
    <mergeCell ref="H31:I33"/>
    <mergeCell ref="H26:I26"/>
  </mergeCells>
  <conditionalFormatting sqref="B5">
    <cfRule type="cellIs" priority="1" dxfId="6" operator="equal" stopIfTrue="1">
      <formula>0</formula>
    </cfRule>
    <cfRule type="cellIs" priority="2" dxfId="7" operator="notEqual" stopIfTrue="1">
      <formula>0</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2:V29"/>
  <sheetViews>
    <sheetView zoomScalePageLayoutView="0" workbookViewId="0" topLeftCell="A1">
      <selection activeCell="A1" sqref="A1"/>
    </sheetView>
  </sheetViews>
  <sheetFormatPr defaultColWidth="9.140625" defaultRowHeight="15"/>
  <cols>
    <col min="1" max="1" width="7.7109375" style="67" customWidth="1"/>
    <col min="2" max="2" width="25.00390625" style="0" customWidth="1"/>
    <col min="3" max="7" width="15.28125" style="0" customWidth="1"/>
    <col min="8" max="8" width="11.140625" style="0" bestFit="1" customWidth="1"/>
    <col min="11" max="11" width="11.57421875" style="0" bestFit="1" customWidth="1"/>
  </cols>
  <sheetData>
    <row r="1" s="67" customFormat="1" ht="12.75" customHeight="1"/>
    <row r="2" s="67" customFormat="1" ht="20.25">
      <c r="B2" s="22" t="s">
        <v>199</v>
      </c>
    </row>
    <row r="3" spans="5:9" s="23" customFormat="1" ht="12.75">
      <c r="E3" s="25"/>
      <c r="F3" s="26"/>
      <c r="H3" s="130" t="s">
        <v>22</v>
      </c>
      <c r="I3" s="131">
        <f>'User''s Guide'!$D$9</f>
        <v>41153</v>
      </c>
    </row>
    <row r="4" spans="2:5" s="23" customFormat="1" ht="18">
      <c r="B4" s="27" t="s">
        <v>147</v>
      </c>
      <c r="E4" s="25"/>
    </row>
    <row r="5" spans="2:7" ht="46.5" customHeight="1">
      <c r="B5" s="310">
        <f>IF('ERR &amp; Sensitivity Analysis'!$I$10="N",IF('ERR &amp; Sensitivity Analysis'!$I$11="N","Reminder: Please reset all summary parameters to original values before changing specific parameters.  Specific parameters will only be used in ERR computation when all summary parameters are set to initial values",0),0)</f>
        <v>0</v>
      </c>
      <c r="C5" s="310"/>
      <c r="D5" s="310"/>
      <c r="E5" s="310"/>
      <c r="F5" s="310"/>
      <c r="G5" s="310"/>
    </row>
    <row r="6" spans="2:9" ht="15">
      <c r="B6" s="3"/>
      <c r="C6" s="153">
        <v>2008</v>
      </c>
      <c r="D6" s="153">
        <v>2009</v>
      </c>
      <c r="E6" s="153">
        <v>2010</v>
      </c>
      <c r="F6" s="153">
        <v>2011</v>
      </c>
      <c r="G6" s="154">
        <v>2012</v>
      </c>
      <c r="H6" s="28"/>
      <c r="I6" s="29"/>
    </row>
    <row r="7" spans="2:7" s="152" customFormat="1" ht="15">
      <c r="B7" s="155" t="s">
        <v>5</v>
      </c>
      <c r="C7" s="156" t="s">
        <v>68</v>
      </c>
      <c r="D7" s="156"/>
      <c r="E7" s="156"/>
      <c r="F7" s="156"/>
      <c r="G7" s="157"/>
    </row>
    <row r="8" spans="2:8" ht="24" customHeight="1">
      <c r="B8" s="158" t="s">
        <v>0</v>
      </c>
      <c r="C8" s="159">
        <f>(C9+C10+C11+C12)*$G$29/C29</f>
        <v>6163880.723824509</v>
      </c>
      <c r="D8" s="159">
        <f>(D9+D10+D11+D12)*$G$29/D29</f>
        <v>13607646.768856509</v>
      </c>
      <c r="E8" s="159">
        <f>(E9+E10+E11+E12)*$G$29/E29</f>
        <v>14052234.590442782</v>
      </c>
      <c r="F8" s="159">
        <f>(F9+F10+F11+F12)*$G$29/F29</f>
        <v>15775300.166616427</v>
      </c>
      <c r="G8" s="159">
        <f>(G9+G10+G11+G12)*$G$29/G29</f>
        <v>12631567.93532037</v>
      </c>
      <c r="H8" s="1"/>
    </row>
    <row r="9" spans="2:7" ht="24" customHeight="1">
      <c r="B9" s="2" t="s">
        <v>1</v>
      </c>
      <c r="C9" s="6">
        <v>1100667.1440217325</v>
      </c>
      <c r="D9" s="6">
        <v>1079521.2502584553</v>
      </c>
      <c r="E9" s="6">
        <v>362217.01444900496</v>
      </c>
      <c r="F9" s="6">
        <v>291642.72096181643</v>
      </c>
      <c r="G9" s="6">
        <v>213610.82171529738</v>
      </c>
    </row>
    <row r="10" spans="2:7" ht="24" customHeight="1">
      <c r="B10" s="2" t="s">
        <v>2</v>
      </c>
      <c r="C10" s="6">
        <v>4748150.197932271</v>
      </c>
      <c r="D10" s="6">
        <v>9341507.171790184</v>
      </c>
      <c r="E10" s="6">
        <v>9538453.226707688</v>
      </c>
      <c r="F10" s="6">
        <v>11413900.283916123</v>
      </c>
      <c r="G10" s="6">
        <v>9458580.446894553</v>
      </c>
    </row>
    <row r="11" spans="2:7" ht="24" customHeight="1">
      <c r="B11" s="2" t="s">
        <v>3</v>
      </c>
      <c r="C11" s="6">
        <v>0</v>
      </c>
      <c r="D11" s="6">
        <v>2440555.177114557</v>
      </c>
      <c r="E11" s="6">
        <v>3609739.7806056775</v>
      </c>
      <c r="F11" s="6">
        <v>3731194.9136210233</v>
      </c>
      <c r="G11" s="6">
        <v>2959376.666710521</v>
      </c>
    </row>
    <row r="12" spans="2:7" ht="24" customHeight="1">
      <c r="B12" s="2" t="s">
        <v>4</v>
      </c>
      <c r="C12" s="6">
        <v>0</v>
      </c>
      <c r="D12" s="6">
        <v>0</v>
      </c>
      <c r="E12" s="6">
        <v>0</v>
      </c>
      <c r="F12" s="6">
        <v>0</v>
      </c>
      <c r="G12" s="6">
        <v>0</v>
      </c>
    </row>
    <row r="13" ht="24" customHeight="1"/>
    <row r="14" ht="24" customHeight="1">
      <c r="B14" s="160" t="s">
        <v>148</v>
      </c>
    </row>
    <row r="15" spans="2:11" ht="24" customHeight="1">
      <c r="B15" s="161" t="s">
        <v>58</v>
      </c>
      <c r="C15" s="161" t="s">
        <v>59</v>
      </c>
      <c r="D15" s="161" t="s">
        <v>60</v>
      </c>
      <c r="E15" s="161" t="s">
        <v>61</v>
      </c>
      <c r="F15" s="161" t="s">
        <v>62</v>
      </c>
      <c r="G15" s="161" t="s">
        <v>63</v>
      </c>
      <c r="H15" s="161" t="s">
        <v>64</v>
      </c>
      <c r="I15" s="161" t="s">
        <v>65</v>
      </c>
      <c r="J15" s="161" t="s">
        <v>66</v>
      </c>
      <c r="K15" s="161" t="s">
        <v>67</v>
      </c>
    </row>
    <row r="16" spans="2:11" ht="24" customHeight="1">
      <c r="B16" t="s">
        <v>9</v>
      </c>
      <c r="C16" s="62">
        <v>8763171</v>
      </c>
      <c r="D16" s="62">
        <v>4007812</v>
      </c>
      <c r="E16" s="62">
        <v>1028434</v>
      </c>
      <c r="F16" s="62">
        <v>359646</v>
      </c>
      <c r="G16" s="62">
        <f>SUM(C16:F16)</f>
        <v>14159063</v>
      </c>
      <c r="H16" s="62">
        <v>4390</v>
      </c>
      <c r="I16" s="62">
        <f aca="true" t="shared" si="0" ref="I16:I23">G16/H16</f>
        <v>3225.2990888382687</v>
      </c>
      <c r="J16" s="61">
        <f>C16/$C$25</f>
        <v>0.299257352202946</v>
      </c>
      <c r="K16" s="62">
        <f>SUM('Cost Assumptions'!$C$8:$G$8)*'Cost Assumptions'!J16</f>
        <v>18622973.615101963</v>
      </c>
    </row>
    <row r="17" spans="2:11" ht="24" customHeight="1">
      <c r="B17" t="s">
        <v>55</v>
      </c>
      <c r="C17" s="62">
        <v>1274942</v>
      </c>
      <c r="D17" s="62">
        <v>477824</v>
      </c>
      <c r="E17" s="62">
        <v>122604</v>
      </c>
      <c r="F17" s="62">
        <v>62372</v>
      </c>
      <c r="G17" s="62">
        <f aca="true" t="shared" si="1" ref="G17:G23">SUM(C17:F17)</f>
        <v>1937742</v>
      </c>
      <c r="H17" s="62">
        <v>610</v>
      </c>
      <c r="I17" s="62">
        <f t="shared" si="0"/>
        <v>3176.6262295081965</v>
      </c>
      <c r="J17" s="61">
        <f aca="true" t="shared" si="2" ref="J17:J23">C17/$C$25</f>
        <v>0.043538550957447755</v>
      </c>
      <c r="K17" s="62">
        <f>SUM('Cost Assumptions'!$C$8:$G$8)*'Cost Assumptions'!J17</f>
        <v>2709431.4634263474</v>
      </c>
    </row>
    <row r="18" spans="2:11" ht="24" customHeight="1">
      <c r="B18" t="s">
        <v>10</v>
      </c>
      <c r="C18" s="62">
        <v>14137807</v>
      </c>
      <c r="D18" s="62">
        <v>7505883</v>
      </c>
      <c r="E18" s="62">
        <v>1076052</v>
      </c>
      <c r="F18" s="62">
        <v>545384</v>
      </c>
      <c r="G18" s="62">
        <f t="shared" si="1"/>
        <v>23265126</v>
      </c>
      <c r="H18" s="62">
        <v>7479</v>
      </c>
      <c r="I18" s="62">
        <f t="shared" si="0"/>
        <v>3110.7268351383873</v>
      </c>
      <c r="J18" s="61">
        <f t="shared" si="2"/>
        <v>0.48279814336343263</v>
      </c>
      <c r="K18" s="62">
        <f>SUM('Cost Assumptions'!$C$8:$G$8)*'Cost Assumptions'!J18</f>
        <v>30044832.713683646</v>
      </c>
    </row>
    <row r="19" spans="2:11" ht="24" customHeight="1">
      <c r="B19" t="s">
        <v>54</v>
      </c>
      <c r="C19" s="62">
        <v>748335</v>
      </c>
      <c r="D19" s="62">
        <v>317196</v>
      </c>
      <c r="E19" s="62">
        <v>126365</v>
      </c>
      <c r="F19" s="62">
        <v>22386</v>
      </c>
      <c r="G19" s="62">
        <f t="shared" si="1"/>
        <v>1214282</v>
      </c>
      <c r="H19" s="62">
        <v>415</v>
      </c>
      <c r="I19" s="62">
        <f t="shared" si="0"/>
        <v>2925.980722891566</v>
      </c>
      <c r="J19" s="61">
        <f t="shared" si="2"/>
        <v>0.02555521861444808</v>
      </c>
      <c r="K19" s="62">
        <f>SUM('Cost Assumptions'!$C$8:$G$8)*'Cost Assumptions'!J19</f>
        <v>1590317.3588940953</v>
      </c>
    </row>
    <row r="20" spans="2:11" ht="24" customHeight="1">
      <c r="B20" t="s">
        <v>52</v>
      </c>
      <c r="C20" s="62">
        <v>1170662</v>
      </c>
      <c r="D20" s="62">
        <v>127543</v>
      </c>
      <c r="E20" s="62">
        <v>57392</v>
      </c>
      <c r="F20" s="62">
        <v>46076</v>
      </c>
      <c r="G20" s="62">
        <f t="shared" si="1"/>
        <v>1401673</v>
      </c>
      <c r="H20" s="62">
        <v>555</v>
      </c>
      <c r="I20" s="62">
        <f t="shared" si="0"/>
        <v>2525.536936936937</v>
      </c>
      <c r="J20" s="61">
        <f t="shared" si="2"/>
        <v>0.0399774477120902</v>
      </c>
      <c r="K20" s="62">
        <f>SUM('Cost Assumptions'!$C$8:$G$8)*'Cost Assumptions'!J20</f>
        <v>2487821.764313682</v>
      </c>
    </row>
    <row r="21" spans="2:11" ht="15">
      <c r="B21" t="s">
        <v>53</v>
      </c>
      <c r="C21" s="62">
        <v>944819</v>
      </c>
      <c r="D21" s="62">
        <v>222301</v>
      </c>
      <c r="E21" s="62">
        <v>0</v>
      </c>
      <c r="F21" s="62">
        <v>30504</v>
      </c>
      <c r="G21" s="62">
        <f t="shared" si="1"/>
        <v>1197624</v>
      </c>
      <c r="H21" s="62">
        <v>530</v>
      </c>
      <c r="I21" s="62">
        <f t="shared" si="0"/>
        <v>2259.6679245283017</v>
      </c>
      <c r="J21" s="61">
        <f t="shared" si="2"/>
        <v>0.03226503650916263</v>
      </c>
      <c r="K21" s="62">
        <f>SUM('Cost Assumptions'!$C$8:$G$8)*'Cost Assumptions'!J21</f>
        <v>2007873.5549091783</v>
      </c>
    </row>
    <row r="22" spans="2:11" ht="15">
      <c r="B22" t="s">
        <v>20</v>
      </c>
      <c r="C22" s="62">
        <v>2095075</v>
      </c>
      <c r="D22" s="62">
        <v>140486</v>
      </c>
      <c r="E22" s="62">
        <v>80297</v>
      </c>
      <c r="F22" s="62">
        <v>61013</v>
      </c>
      <c r="G22" s="62">
        <f t="shared" si="1"/>
        <v>2376871</v>
      </c>
      <c r="H22" s="62">
        <v>1176</v>
      </c>
      <c r="I22" s="62">
        <f t="shared" si="0"/>
        <v>2021.1488095238096</v>
      </c>
      <c r="J22" s="61">
        <f t="shared" si="2"/>
        <v>0.07154563081863713</v>
      </c>
      <c r="K22" s="62">
        <f>SUM('Cost Assumptions'!$C$8:$G$8)*'Cost Assumptions'!J22</f>
        <v>4452329.692831482</v>
      </c>
    </row>
    <row r="23" spans="2:11" ht="15">
      <c r="B23" t="s">
        <v>56</v>
      </c>
      <c r="C23" s="62">
        <v>148249</v>
      </c>
      <c r="D23" s="62">
        <v>47459</v>
      </c>
      <c r="E23" s="62">
        <v>0</v>
      </c>
      <c r="F23" s="62">
        <v>0</v>
      </c>
      <c r="G23" s="62">
        <f t="shared" si="1"/>
        <v>195708</v>
      </c>
      <c r="H23" s="62">
        <v>120</v>
      </c>
      <c r="I23" s="62">
        <f t="shared" si="0"/>
        <v>1630.9</v>
      </c>
      <c r="J23" s="61">
        <f t="shared" si="2"/>
        <v>0.00506261982183556</v>
      </c>
      <c r="K23" s="62">
        <f>SUM('Cost Assumptions'!$C$8:$G$8)*'Cost Assumptions'!J23</f>
        <v>315050.0219002061</v>
      </c>
    </row>
    <row r="24" spans="3:9" ht="15">
      <c r="C24" s="62"/>
      <c r="D24" s="62"/>
      <c r="E24" s="62"/>
      <c r="F24" s="62"/>
      <c r="G24" s="62"/>
      <c r="H24" s="62"/>
      <c r="I24" s="62"/>
    </row>
    <row r="25" spans="2:9" ht="15">
      <c r="B25" s="162" t="s">
        <v>57</v>
      </c>
      <c r="C25" s="163">
        <f>SUM(C$16:C$23)</f>
        <v>29283060</v>
      </c>
      <c r="D25" s="163">
        <f>SUM(D$16:D$23)</f>
        <v>12846504</v>
      </c>
      <c r="E25" s="163">
        <f>SUM(E$16:E$23)</f>
        <v>2491144</v>
      </c>
      <c r="F25" s="163">
        <f>SUM(F$16:F$23)</f>
        <v>1127381</v>
      </c>
      <c r="G25" s="163">
        <f>SUM(G$16:G$23)</f>
        <v>45748089</v>
      </c>
      <c r="H25" s="163">
        <f>SUM(H$16:H$23)</f>
        <v>15275</v>
      </c>
      <c r="I25" s="163">
        <v>2995</v>
      </c>
    </row>
    <row r="28" spans="1:22" s="9" customFormat="1" ht="15">
      <c r="A28" s="67"/>
      <c r="B28" s="167" t="s">
        <v>117</v>
      </c>
      <c r="C28" s="168">
        <v>2008</v>
      </c>
      <c r="D28" s="168">
        <v>2009</v>
      </c>
      <c r="E28" s="168">
        <v>2010</v>
      </c>
      <c r="F28" s="168">
        <v>2011</v>
      </c>
      <c r="G28" s="181">
        <v>2012</v>
      </c>
      <c r="H28" s="166"/>
      <c r="I28" s="166"/>
      <c r="J28" s="166"/>
      <c r="K28" s="166"/>
      <c r="L28" s="166"/>
      <c r="M28" s="166"/>
      <c r="N28" s="166"/>
      <c r="O28" s="166"/>
      <c r="P28" s="166"/>
      <c r="Q28" s="166"/>
      <c r="R28" s="166"/>
      <c r="S28" s="166"/>
      <c r="T28" s="166"/>
      <c r="U28" s="166"/>
      <c r="V28" s="166"/>
    </row>
    <row r="29" spans="1:22" s="9" customFormat="1" ht="15">
      <c r="A29" s="67"/>
      <c r="B29" s="169" t="s">
        <v>118</v>
      </c>
      <c r="C29" s="170">
        <v>103.79846699386299</v>
      </c>
      <c r="D29" s="170">
        <v>103.39237815258642</v>
      </c>
      <c r="E29" s="170">
        <v>105.17202720546102</v>
      </c>
      <c r="F29" s="170">
        <v>107.04219503890646</v>
      </c>
      <c r="G29" s="171">
        <v>109.38987020105134</v>
      </c>
      <c r="H29" s="108"/>
      <c r="I29" s="108"/>
      <c r="J29" s="108"/>
      <c r="K29" s="108"/>
      <c r="L29" s="108"/>
      <c r="M29" s="108"/>
      <c r="N29" s="108"/>
      <c r="O29" s="108"/>
      <c r="P29" s="108"/>
      <c r="Q29" s="108"/>
      <c r="R29" s="108"/>
      <c r="S29" s="108"/>
      <c r="T29" s="108"/>
      <c r="U29" s="108"/>
      <c r="V29" s="108"/>
    </row>
  </sheetData>
  <sheetProtection/>
  <mergeCells count="1">
    <mergeCell ref="B5:G5"/>
  </mergeCells>
  <conditionalFormatting sqref="B5">
    <cfRule type="cellIs" priority="1" dxfId="6" operator="equal" stopIfTrue="1">
      <formula>0</formula>
    </cfRule>
    <cfRule type="cellIs" priority="2" dxfId="7" operator="notEqual" stopIfTrue="1">
      <formula>0</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7"/>
  <dimension ref="A1:M46"/>
  <sheetViews>
    <sheetView zoomScalePageLayoutView="0" workbookViewId="0" topLeftCell="A1">
      <selection activeCell="A1" sqref="A1"/>
    </sheetView>
  </sheetViews>
  <sheetFormatPr defaultColWidth="9.140625" defaultRowHeight="15"/>
  <cols>
    <col min="1" max="1" width="8.8515625" style="67" customWidth="1"/>
    <col min="2" max="2" width="0.85546875" style="67" customWidth="1"/>
    <col min="3" max="3" width="42.00390625" style="67" customWidth="1"/>
    <col min="4" max="4" width="12.140625" style="67" customWidth="1"/>
    <col min="5" max="5" width="0.9921875" style="67" customWidth="1"/>
    <col min="6" max="6" width="16.8515625" style="67" customWidth="1"/>
    <col min="7" max="7" width="16.421875" style="67" customWidth="1"/>
    <col min="8" max="9" width="11.7109375" style="67" customWidth="1"/>
    <col min="10" max="10" width="1.1484375" style="67" customWidth="1"/>
    <col min="11" max="12" width="9.140625" style="67" customWidth="1"/>
    <col min="13" max="13" width="11.140625" style="67" bestFit="1" customWidth="1"/>
    <col min="14" max="16384" width="9.140625" style="67" customWidth="1"/>
  </cols>
  <sheetData>
    <row r="1" spans="1:13" ht="15">
      <c r="A1" s="185"/>
      <c r="B1" s="186"/>
      <c r="C1" s="187"/>
      <c r="D1" s="186"/>
      <c r="E1" s="188"/>
      <c r="F1" s="187"/>
      <c r="G1" s="187"/>
      <c r="H1" s="187"/>
      <c r="I1" s="187"/>
      <c r="J1" s="186"/>
      <c r="K1" s="185"/>
      <c r="L1" s="185"/>
      <c r="M1" s="185"/>
    </row>
    <row r="2" spans="1:13" ht="15.75">
      <c r="A2" s="185"/>
      <c r="B2" s="186"/>
      <c r="C2" s="187"/>
      <c r="D2" s="186"/>
      <c r="E2" s="189"/>
      <c r="F2" s="187"/>
      <c r="G2" s="187"/>
      <c r="H2" s="187"/>
      <c r="I2" s="187"/>
      <c r="J2" s="186"/>
      <c r="K2" s="185"/>
      <c r="L2" s="185"/>
      <c r="M2" s="185"/>
    </row>
    <row r="3" spans="1:13" ht="15">
      <c r="A3" s="185"/>
      <c r="B3" s="188"/>
      <c r="C3" s="188"/>
      <c r="D3" s="186"/>
      <c r="E3" s="186"/>
      <c r="F3" s="186"/>
      <c r="G3" s="186"/>
      <c r="H3" s="186"/>
      <c r="I3" s="186"/>
      <c r="J3" s="186"/>
      <c r="K3" s="185"/>
      <c r="L3" s="185"/>
      <c r="M3" s="185"/>
    </row>
    <row r="4" spans="1:13" ht="20.25">
      <c r="A4" s="185"/>
      <c r="B4" s="188"/>
      <c r="C4" s="188"/>
      <c r="E4" s="190"/>
      <c r="F4" s="190"/>
      <c r="G4" s="190"/>
      <c r="H4" s="190"/>
      <c r="I4" s="190"/>
      <c r="J4" s="190"/>
      <c r="K4" s="185"/>
      <c r="L4" s="185"/>
      <c r="M4" s="185"/>
    </row>
    <row r="5" spans="1:13" ht="20.25">
      <c r="A5" s="185"/>
      <c r="B5" s="186"/>
      <c r="C5" s="187"/>
      <c r="D5" s="321" t="s">
        <v>155</v>
      </c>
      <c r="E5" s="322"/>
      <c r="F5" s="322"/>
      <c r="G5" s="322"/>
      <c r="H5" s="322"/>
      <c r="I5" s="322"/>
      <c r="J5" s="186"/>
      <c r="K5" s="185"/>
      <c r="L5" s="185"/>
      <c r="M5" s="185"/>
    </row>
    <row r="6" spans="1:13" ht="15.75">
      <c r="A6" s="185"/>
      <c r="B6" s="186"/>
      <c r="C6" s="187"/>
      <c r="D6" s="191"/>
      <c r="E6" s="192"/>
      <c r="F6" s="188"/>
      <c r="G6" s="193"/>
      <c r="H6" s="193"/>
      <c r="I6" s="193"/>
      <c r="J6" s="186"/>
      <c r="K6" s="185"/>
      <c r="L6" s="185"/>
      <c r="M6" s="185"/>
    </row>
    <row r="7" spans="1:13" ht="15.75">
      <c r="A7" s="185"/>
      <c r="B7" s="186"/>
      <c r="C7" s="323" t="s">
        <v>156</v>
      </c>
      <c r="D7" s="323"/>
      <c r="E7" s="323"/>
      <c r="F7" s="323"/>
      <c r="G7" s="323"/>
      <c r="H7" s="323"/>
      <c r="I7" s="323"/>
      <c r="J7" s="186"/>
      <c r="K7" s="185"/>
      <c r="L7" s="185"/>
      <c r="M7" s="185"/>
    </row>
    <row r="8" spans="1:13" ht="15.75" thickBot="1">
      <c r="A8" s="185"/>
      <c r="B8" s="186"/>
      <c r="C8" s="324" t="s">
        <v>201</v>
      </c>
      <c r="D8" s="324"/>
      <c r="E8" s="324"/>
      <c r="F8" s="324"/>
      <c r="G8" s="324"/>
      <c r="H8" s="324"/>
      <c r="I8" s="324"/>
      <c r="J8" s="186"/>
      <c r="K8" s="185"/>
      <c r="L8" s="185"/>
      <c r="M8" s="185"/>
    </row>
    <row r="9" spans="1:13" ht="15">
      <c r="A9" s="185"/>
      <c r="B9" s="194"/>
      <c r="C9" s="195"/>
      <c r="D9" s="196"/>
      <c r="E9" s="197"/>
      <c r="F9" s="197"/>
      <c r="G9" s="197"/>
      <c r="H9" s="197"/>
      <c r="I9" s="197"/>
      <c r="J9" s="198"/>
      <c r="K9" s="185"/>
      <c r="L9" s="185"/>
      <c r="M9" s="185"/>
    </row>
    <row r="10" spans="1:13" ht="15">
      <c r="A10" s="185"/>
      <c r="B10" s="199"/>
      <c r="C10" s="200" t="s">
        <v>157</v>
      </c>
      <c r="D10" s="201">
        <v>55.8</v>
      </c>
      <c r="E10" s="202"/>
      <c r="J10" s="203"/>
      <c r="K10" s="185"/>
      <c r="L10" s="185"/>
      <c r="M10" s="185"/>
    </row>
    <row r="11" spans="1:13" ht="15">
      <c r="A11" s="185"/>
      <c r="B11" s="199"/>
      <c r="C11" s="200" t="s">
        <v>158</v>
      </c>
      <c r="D11" s="204">
        <f>'ERR &amp; Sensitivity Analysis'!$D$21</f>
        <v>0.2596522694983783</v>
      </c>
      <c r="E11" s="202"/>
      <c r="F11" s="202"/>
      <c r="G11" s="202"/>
      <c r="H11" s="202"/>
      <c r="I11" s="202"/>
      <c r="J11" s="203"/>
      <c r="K11" s="185"/>
      <c r="L11" s="185"/>
      <c r="M11" s="185"/>
    </row>
    <row r="12" spans="1:13" ht="24">
      <c r="A12" s="185"/>
      <c r="B12" s="199"/>
      <c r="C12" s="200" t="s">
        <v>159</v>
      </c>
      <c r="D12" s="276">
        <v>72.06100743991074</v>
      </c>
      <c r="E12" s="202"/>
      <c r="F12" s="202"/>
      <c r="G12" s="202"/>
      <c r="H12" s="202"/>
      <c r="I12" s="202"/>
      <c r="J12" s="203"/>
      <c r="K12" s="185"/>
      <c r="L12" s="185"/>
      <c r="M12" s="185"/>
    </row>
    <row r="13" spans="1:13" ht="15">
      <c r="A13" s="185"/>
      <c r="B13" s="199"/>
      <c r="C13" s="205" t="s">
        <v>160</v>
      </c>
      <c r="D13" s="276">
        <v>34.9540644533185</v>
      </c>
      <c r="E13" s="205"/>
      <c r="G13" s="202"/>
      <c r="H13" s="202"/>
      <c r="I13" s="202"/>
      <c r="J13" s="203"/>
      <c r="K13" s="185"/>
      <c r="L13" s="185"/>
      <c r="M13" s="185"/>
    </row>
    <row r="14" spans="1:13" ht="15">
      <c r="A14" s="185"/>
      <c r="B14" s="199"/>
      <c r="C14" s="206"/>
      <c r="D14" s="207"/>
      <c r="E14" s="207"/>
      <c r="F14" s="325" t="s">
        <v>161</v>
      </c>
      <c r="G14" s="325"/>
      <c r="H14" s="325"/>
      <c r="I14" s="325"/>
      <c r="J14" s="203"/>
      <c r="K14" s="185"/>
      <c r="L14" s="185"/>
      <c r="M14" s="185"/>
    </row>
    <row r="15" spans="1:13" ht="15">
      <c r="A15" s="185"/>
      <c r="B15" s="199"/>
      <c r="C15" s="208" t="s">
        <v>162</v>
      </c>
      <c r="D15" s="209" t="s">
        <v>163</v>
      </c>
      <c r="E15" s="210"/>
      <c r="F15" s="209" t="s">
        <v>164</v>
      </c>
      <c r="G15" s="209" t="s">
        <v>165</v>
      </c>
      <c r="H15" s="209" t="s">
        <v>166</v>
      </c>
      <c r="I15" s="209" t="s">
        <v>167</v>
      </c>
      <c r="J15" s="203"/>
      <c r="K15" s="185"/>
      <c r="L15" s="185"/>
      <c r="M15" s="185"/>
    </row>
    <row r="16" spans="1:13" ht="15">
      <c r="A16" s="185"/>
      <c r="B16" s="199"/>
      <c r="C16" s="211"/>
      <c r="D16" s="212"/>
      <c r="E16" s="213"/>
      <c r="F16" s="212"/>
      <c r="G16" s="212"/>
      <c r="H16" s="212"/>
      <c r="I16" s="212"/>
      <c r="J16" s="203"/>
      <c r="K16" s="185"/>
      <c r="L16" s="185"/>
      <c r="M16" s="185"/>
    </row>
    <row r="17" spans="1:13" ht="15">
      <c r="A17" s="185"/>
      <c r="B17" s="199"/>
      <c r="C17" s="202" t="s">
        <v>168</v>
      </c>
      <c r="D17" s="214">
        <f>D18/4.41</f>
        <v>13997.6</v>
      </c>
      <c r="E17" s="215"/>
      <c r="F17" s="216"/>
      <c r="G17" s="216"/>
      <c r="H17" s="216"/>
      <c r="I17" s="216"/>
      <c r="J17" s="203"/>
      <c r="K17" s="185"/>
      <c r="L17" s="185"/>
      <c r="M17" s="185"/>
    </row>
    <row r="18" spans="1:13" ht="15">
      <c r="A18" s="185"/>
      <c r="B18" s="199"/>
      <c r="C18" s="217" t="s">
        <v>169</v>
      </c>
      <c r="D18" s="214">
        <v>61729.416000000005</v>
      </c>
      <c r="E18" s="215"/>
      <c r="F18" s="218"/>
      <c r="G18" s="218"/>
      <c r="H18" s="218"/>
      <c r="I18" s="218"/>
      <c r="J18" s="203"/>
      <c r="K18" s="185"/>
      <c r="L18" s="186"/>
      <c r="M18" s="185"/>
    </row>
    <row r="19" spans="1:13" ht="15">
      <c r="A19" s="185"/>
      <c r="B19" s="199"/>
      <c r="C19" s="217" t="s">
        <v>170</v>
      </c>
      <c r="D19" s="214">
        <v>6780000</v>
      </c>
      <c r="E19" s="215"/>
      <c r="F19" s="219"/>
      <c r="G19" s="219"/>
      <c r="H19" s="219"/>
      <c r="I19" s="219"/>
      <c r="J19" s="203"/>
      <c r="K19" s="185"/>
      <c r="L19" s="185"/>
      <c r="M19" s="185"/>
    </row>
    <row r="20" spans="1:13" ht="15">
      <c r="A20" s="185"/>
      <c r="B20" s="199"/>
      <c r="C20" s="217" t="s">
        <v>171</v>
      </c>
      <c r="D20" s="220"/>
      <c r="E20" s="215"/>
      <c r="F20" s="221">
        <v>0.3346</v>
      </c>
      <c r="G20" s="221">
        <v>0.6016</v>
      </c>
      <c r="H20" s="221">
        <v>0.2764</v>
      </c>
      <c r="I20" s="221">
        <v>0.122</v>
      </c>
      <c r="J20" s="222"/>
      <c r="K20" s="185"/>
      <c r="L20" s="185"/>
      <c r="M20" s="185"/>
    </row>
    <row r="21" spans="1:13" ht="15">
      <c r="A21" s="185"/>
      <c r="B21" s="199"/>
      <c r="C21" s="223" t="s">
        <v>172</v>
      </c>
      <c r="D21" s="224"/>
      <c r="E21" s="225"/>
      <c r="F21" s="226">
        <v>0.335</v>
      </c>
      <c r="G21" s="226">
        <v>0.6036</v>
      </c>
      <c r="H21" s="226">
        <v>0.2894</v>
      </c>
      <c r="I21" s="226">
        <v>0.10699999999999998</v>
      </c>
      <c r="J21" s="203"/>
      <c r="K21" s="185"/>
      <c r="L21" s="227"/>
      <c r="M21" s="185"/>
    </row>
    <row r="22" spans="1:13" ht="15">
      <c r="A22" s="185"/>
      <c r="B22" s="228"/>
      <c r="C22" s="229"/>
      <c r="D22" s="230"/>
      <c r="E22" s="231"/>
      <c r="F22" s="232"/>
      <c r="G22" s="233"/>
      <c r="H22" s="233"/>
      <c r="I22" s="233"/>
      <c r="J22" s="203"/>
      <c r="K22" s="185"/>
      <c r="L22" s="185"/>
      <c r="M22" s="185"/>
    </row>
    <row r="23" spans="1:13" ht="15">
      <c r="A23" s="185"/>
      <c r="B23" s="199"/>
      <c r="C23" s="208" t="s">
        <v>173</v>
      </c>
      <c r="D23" s="209"/>
      <c r="E23" s="210"/>
      <c r="F23" s="209"/>
      <c r="G23" s="209"/>
      <c r="H23" s="209"/>
      <c r="I23" s="209"/>
      <c r="J23" s="203"/>
      <c r="K23" s="185"/>
      <c r="L23" s="185"/>
      <c r="M23" s="234"/>
    </row>
    <row r="24" spans="1:13" ht="15">
      <c r="A24" s="185"/>
      <c r="B24" s="199"/>
      <c r="C24" s="235"/>
      <c r="D24" s="212"/>
      <c r="E24" s="213"/>
      <c r="F24" s="212"/>
      <c r="G24" s="212"/>
      <c r="H24" s="212"/>
      <c r="I24" s="212"/>
      <c r="J24" s="203"/>
      <c r="K24" s="185"/>
      <c r="L24" s="185"/>
      <c r="M24" s="185"/>
    </row>
    <row r="25" spans="1:13" ht="15">
      <c r="A25" s="185"/>
      <c r="B25" s="199"/>
      <c r="C25" s="217" t="s">
        <v>174</v>
      </c>
      <c r="D25" s="236">
        <f>SUMPRODUCT(G25:I25,G20:I20)</f>
        <v>258.9800112787453</v>
      </c>
      <c r="E25" s="237"/>
      <c r="F25" s="238">
        <v>258.98001127874534</v>
      </c>
      <c r="G25" s="238">
        <v>258.9800112787453</v>
      </c>
      <c r="H25" s="238">
        <v>258.98001127874534</v>
      </c>
      <c r="I25" s="238">
        <v>258.98001127874534</v>
      </c>
      <c r="J25" s="239"/>
      <c r="K25" s="227"/>
      <c r="L25" s="227"/>
      <c r="M25" s="227"/>
    </row>
    <row r="26" spans="1:13" ht="15">
      <c r="A26" s="185"/>
      <c r="B26" s="199"/>
      <c r="C26" s="240" t="s">
        <v>175</v>
      </c>
      <c r="D26" s="241">
        <f>SUMPRODUCT(G26:I26,G20:I20)</f>
        <v>0.6826931703641942</v>
      </c>
      <c r="E26" s="242"/>
      <c r="F26" s="226">
        <v>17.91009759880673</v>
      </c>
      <c r="G26" s="226">
        <v>1.0137390043221135</v>
      </c>
      <c r="H26" s="226">
        <v>0.23382510633881556</v>
      </c>
      <c r="I26" s="226">
        <v>0.06720103255706569</v>
      </c>
      <c r="J26" s="203"/>
      <c r="K26" s="243"/>
      <c r="L26" s="243"/>
      <c r="M26" s="243"/>
    </row>
    <row r="27" spans="1:13" ht="15">
      <c r="A27" s="185"/>
      <c r="B27" s="199"/>
      <c r="C27" s="244"/>
      <c r="D27" s="230"/>
      <c r="E27" s="245"/>
      <c r="F27" s="246"/>
      <c r="G27" s="246"/>
      <c r="H27" s="246"/>
      <c r="I27" s="246"/>
      <c r="J27" s="203"/>
      <c r="K27" s="185"/>
      <c r="L27" s="185"/>
      <c r="M27" s="185"/>
    </row>
    <row r="28" spans="1:13" ht="15">
      <c r="A28" s="185"/>
      <c r="B28" s="199"/>
      <c r="C28" s="208" t="s">
        <v>176</v>
      </c>
      <c r="D28" s="247"/>
      <c r="E28" s="248"/>
      <c r="F28" s="249"/>
      <c r="G28" s="249"/>
      <c r="H28" s="249"/>
      <c r="I28" s="249"/>
      <c r="J28" s="203"/>
      <c r="K28" s="185"/>
      <c r="L28" s="185"/>
      <c r="M28" s="185"/>
    </row>
    <row r="29" spans="1:13" ht="15">
      <c r="A29" s="185"/>
      <c r="B29" s="199"/>
      <c r="C29" s="206"/>
      <c r="D29" s="250"/>
      <c r="E29" s="251"/>
      <c r="F29" s="252"/>
      <c r="G29" s="252"/>
      <c r="H29" s="252"/>
      <c r="I29" s="252"/>
      <c r="J29" s="203"/>
      <c r="K29" s="185"/>
      <c r="L29" s="185"/>
      <c r="M29" s="185"/>
    </row>
    <row r="30" spans="1:13" ht="15">
      <c r="A30" s="185"/>
      <c r="B30" s="199"/>
      <c r="C30" s="223" t="s">
        <v>177</v>
      </c>
      <c r="D30" s="253">
        <f>D12/D13</f>
        <v>2.061591650840746</v>
      </c>
      <c r="E30" s="254"/>
      <c r="F30" s="255">
        <f>F20*$D$18*F25/($D$13*1000000)</f>
        <v>0.15303355518477813</v>
      </c>
      <c r="G30" s="255">
        <f>G20*$D$18*G25/($D$13*1000000)</f>
        <v>0.2751493927052077</v>
      </c>
      <c r="H30" s="255">
        <f>H20*$D$18*H25/($D$13*1000000)</f>
        <v>0.1264150467814485</v>
      </c>
      <c r="I30" s="255">
        <f>I20*$D$18*I25/($D$13*1000000)</f>
        <v>0.05579824785577684</v>
      </c>
      <c r="J30" s="256"/>
      <c r="K30" s="227"/>
      <c r="L30" s="257"/>
      <c r="M30" s="227"/>
    </row>
    <row r="31" spans="1:13" ht="15">
      <c r="A31" s="185"/>
      <c r="B31" s="199"/>
      <c r="C31" s="244"/>
      <c r="D31" s="230"/>
      <c r="E31" s="245"/>
      <c r="F31" s="246"/>
      <c r="G31" s="246"/>
      <c r="H31" s="246"/>
      <c r="I31" s="246"/>
      <c r="J31" s="203"/>
      <c r="K31" s="185"/>
      <c r="L31" s="185"/>
      <c r="M31" s="185"/>
    </row>
    <row r="32" spans="1:13" ht="15">
      <c r="A32" s="185"/>
      <c r="B32" s="199"/>
      <c r="C32" s="217" t="s">
        <v>178</v>
      </c>
      <c r="D32" s="258">
        <v>3380</v>
      </c>
      <c r="E32" s="202"/>
      <c r="F32" s="202"/>
      <c r="G32" s="202"/>
      <c r="H32" s="202"/>
      <c r="I32" s="202"/>
      <c r="J32" s="203"/>
      <c r="K32" s="185"/>
      <c r="L32" s="259"/>
      <c r="M32" s="259"/>
    </row>
    <row r="33" spans="1:13" ht="15" customHeight="1">
      <c r="A33" s="185"/>
      <c r="B33" s="199"/>
      <c r="C33" s="260" t="s">
        <v>179</v>
      </c>
      <c r="D33" s="261">
        <v>6153000</v>
      </c>
      <c r="E33" s="262"/>
      <c r="F33" s="262"/>
      <c r="G33" s="262"/>
      <c r="H33" s="262"/>
      <c r="I33" s="262"/>
      <c r="J33" s="203"/>
      <c r="K33" s="185"/>
      <c r="L33" s="185"/>
      <c r="M33" s="185"/>
    </row>
    <row r="34" spans="1:13" ht="3.75" customHeight="1">
      <c r="A34" s="185"/>
      <c r="B34" s="199"/>
      <c r="C34" s="217"/>
      <c r="D34" s="263"/>
      <c r="E34" s="202"/>
      <c r="F34" s="202"/>
      <c r="G34" s="202"/>
      <c r="H34" s="202"/>
      <c r="I34" s="202"/>
      <c r="J34" s="203"/>
      <c r="K34" s="185"/>
      <c r="L34" s="264"/>
      <c r="M34" s="265"/>
    </row>
    <row r="35" spans="1:13" ht="15">
      <c r="A35" s="185"/>
      <c r="B35" s="199"/>
      <c r="C35" s="266" t="s">
        <v>180</v>
      </c>
      <c r="D35" s="267"/>
      <c r="E35" s="202"/>
      <c r="F35" s="268"/>
      <c r="G35" s="268"/>
      <c r="H35" s="268"/>
      <c r="I35" s="268"/>
      <c r="J35" s="203"/>
      <c r="K35" s="185"/>
      <c r="L35" s="264"/>
      <c r="M35" s="265"/>
    </row>
    <row r="36" spans="1:13" ht="15">
      <c r="A36" s="185"/>
      <c r="B36" s="199"/>
      <c r="C36" s="269" t="s">
        <v>181</v>
      </c>
      <c r="D36" s="267"/>
      <c r="E36" s="202"/>
      <c r="F36" s="268"/>
      <c r="G36" s="268"/>
      <c r="H36" s="268"/>
      <c r="I36" s="268"/>
      <c r="J36" s="203"/>
      <c r="K36" s="185"/>
      <c r="L36" s="185"/>
      <c r="M36" s="185"/>
    </row>
    <row r="37" spans="1:13" ht="15">
      <c r="A37" s="185"/>
      <c r="B37" s="199"/>
      <c r="C37" s="269" t="s">
        <v>182</v>
      </c>
      <c r="D37" s="187"/>
      <c r="E37" s="187"/>
      <c r="F37" s="187"/>
      <c r="G37" s="187"/>
      <c r="H37" s="187"/>
      <c r="I37" s="187"/>
      <c r="J37" s="203"/>
      <c r="K37" s="185"/>
      <c r="L37" s="185"/>
      <c r="M37" s="185"/>
    </row>
    <row r="38" spans="1:13" ht="15">
      <c r="A38" s="270"/>
      <c r="B38" s="199"/>
      <c r="C38" s="271" t="s">
        <v>183</v>
      </c>
      <c r="D38" s="187"/>
      <c r="E38" s="187"/>
      <c r="F38" s="187"/>
      <c r="G38" s="187"/>
      <c r="H38" s="187"/>
      <c r="I38" s="187"/>
      <c r="J38" s="203"/>
      <c r="K38" s="270"/>
      <c r="L38" s="270"/>
      <c r="M38" s="270"/>
    </row>
    <row r="39" spans="1:13" ht="15.75" thickBot="1">
      <c r="A39" s="270"/>
      <c r="B39" s="272"/>
      <c r="C39" s="273" t="s">
        <v>184</v>
      </c>
      <c r="D39" s="274"/>
      <c r="E39" s="274"/>
      <c r="F39" s="274"/>
      <c r="G39" s="274"/>
      <c r="H39" s="274"/>
      <c r="I39" s="274"/>
      <c r="J39" s="275"/>
      <c r="K39" s="270"/>
      <c r="L39" s="270"/>
      <c r="M39" s="270"/>
    </row>
    <row r="40" spans="1:13" ht="15">
      <c r="A40" s="185"/>
      <c r="B40" s="187"/>
      <c r="C40" s="186"/>
      <c r="D40" s="186"/>
      <c r="E40" s="186"/>
      <c r="F40" s="186"/>
      <c r="G40" s="186"/>
      <c r="H40" s="186"/>
      <c r="I40" s="186"/>
      <c r="J40" s="186"/>
      <c r="K40" s="185"/>
      <c r="L40" s="185"/>
      <c r="M40" s="185"/>
    </row>
    <row r="41" spans="1:13" ht="15">
      <c r="A41" s="185"/>
      <c r="B41" s="186"/>
      <c r="C41" s="186"/>
      <c r="D41" s="186"/>
      <c r="E41" s="186"/>
      <c r="F41" s="186"/>
      <c r="G41" s="186"/>
      <c r="H41" s="186"/>
      <c r="I41" s="186"/>
      <c r="J41" s="186"/>
      <c r="K41" s="185"/>
      <c r="L41" s="185"/>
      <c r="M41" s="185"/>
    </row>
    <row r="42" spans="1:13" ht="15">
      <c r="A42" s="185"/>
      <c r="B42" s="186"/>
      <c r="C42" s="186"/>
      <c r="D42" s="186"/>
      <c r="E42" s="186"/>
      <c r="F42" s="186"/>
      <c r="G42" s="186"/>
      <c r="H42" s="186"/>
      <c r="I42" s="186"/>
      <c r="J42" s="186"/>
      <c r="K42" s="185"/>
      <c r="L42" s="185"/>
      <c r="M42" s="185"/>
    </row>
    <row r="43" spans="1:13" ht="15">
      <c r="A43" s="185"/>
      <c r="B43" s="186"/>
      <c r="C43" s="186"/>
      <c r="D43" s="186"/>
      <c r="E43" s="186"/>
      <c r="F43" s="186"/>
      <c r="G43" s="186"/>
      <c r="H43" s="186"/>
      <c r="I43" s="186"/>
      <c r="J43" s="186"/>
      <c r="K43" s="185"/>
      <c r="L43" s="185"/>
      <c r="M43" s="185"/>
    </row>
    <row r="44" spans="1:13" ht="15">
      <c r="A44" s="185"/>
      <c r="B44" s="186"/>
      <c r="C44" s="186"/>
      <c r="D44" s="186"/>
      <c r="E44" s="186"/>
      <c r="F44" s="186"/>
      <c r="G44" s="186"/>
      <c r="H44" s="186"/>
      <c r="I44" s="186"/>
      <c r="J44" s="186"/>
      <c r="K44" s="185"/>
      <c r="L44" s="185"/>
      <c r="M44" s="185"/>
    </row>
    <row r="45" spans="1:13" ht="15">
      <c r="A45" s="185"/>
      <c r="B45" s="186"/>
      <c r="C45" s="186"/>
      <c r="D45" s="186"/>
      <c r="E45" s="186"/>
      <c r="F45" s="186"/>
      <c r="G45" s="186"/>
      <c r="H45" s="186"/>
      <c r="I45" s="186"/>
      <c r="J45" s="186"/>
      <c r="K45" s="185"/>
      <c r="L45" s="185"/>
      <c r="M45" s="185"/>
    </row>
    <row r="46" spans="1:13" ht="15">
      <c r="A46" s="185"/>
      <c r="B46" s="186"/>
      <c r="C46" s="186"/>
      <c r="D46" s="186"/>
      <c r="E46" s="186"/>
      <c r="F46" s="186"/>
      <c r="G46" s="186"/>
      <c r="H46" s="186"/>
      <c r="I46" s="186"/>
      <c r="J46" s="186"/>
      <c r="K46" s="185"/>
      <c r="L46" s="185"/>
      <c r="M46" s="185"/>
    </row>
  </sheetData>
  <sheetProtection/>
  <mergeCells count="4">
    <mergeCell ref="D5:I5"/>
    <mergeCell ref="C7:I7"/>
    <mergeCell ref="C8:I8"/>
    <mergeCell ref="F14:I14"/>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6"/>
  <dimension ref="A1:E13"/>
  <sheetViews>
    <sheetView zoomScalePageLayoutView="0" workbookViewId="0" topLeftCell="A1">
      <selection activeCell="B2" sqref="B2"/>
    </sheetView>
  </sheetViews>
  <sheetFormatPr defaultColWidth="9.140625" defaultRowHeight="15"/>
  <cols>
    <col min="4" max="4" width="9.57421875" style="0" bestFit="1" customWidth="1"/>
  </cols>
  <sheetData>
    <row r="1" spans="3:4" ht="15">
      <c r="C1" s="67" t="s">
        <v>79</v>
      </c>
      <c r="D1" s="67" t="s">
        <v>80</v>
      </c>
    </row>
    <row r="2" spans="1:5" ht="15">
      <c r="A2" s="67" t="s">
        <v>70</v>
      </c>
      <c r="B2" s="67" t="s">
        <v>71</v>
      </c>
      <c r="C2" s="67">
        <v>1316</v>
      </c>
      <c r="D2" s="67">
        <v>1.0348811624548748</v>
      </c>
      <c r="E2" s="67"/>
    </row>
    <row r="3" spans="1:5" ht="15">
      <c r="A3" s="67"/>
      <c r="B3" s="67" t="s">
        <v>72</v>
      </c>
      <c r="C3" s="67">
        <v>1077</v>
      </c>
      <c r="D3" s="67">
        <v>458.4272909747292</v>
      </c>
      <c r="E3" s="67"/>
    </row>
    <row r="4" spans="1:5" ht="15">
      <c r="A4" s="67"/>
      <c r="B4" s="67" t="s">
        <v>73</v>
      </c>
      <c r="C4" s="67">
        <v>1315</v>
      </c>
      <c r="D4" s="67">
        <v>73.1872202166065</v>
      </c>
      <c r="E4" s="67"/>
    </row>
    <row r="5" spans="1:5" ht="15">
      <c r="A5" s="67" t="s">
        <v>74</v>
      </c>
      <c r="B5" s="67" t="s">
        <v>75</v>
      </c>
      <c r="C5" s="67">
        <v>1430</v>
      </c>
      <c r="D5" s="67">
        <v>1.0353786065940904</v>
      </c>
      <c r="E5" s="67"/>
    </row>
    <row r="6" spans="1:5" ht="15">
      <c r="A6" s="67"/>
      <c r="B6" s="67" t="s">
        <v>72</v>
      </c>
      <c r="C6" s="67">
        <v>1306</v>
      </c>
      <c r="D6" s="67">
        <v>638.4840306834031</v>
      </c>
      <c r="E6" s="67"/>
    </row>
    <row r="7" spans="1:5" ht="15">
      <c r="A7" s="67"/>
      <c r="B7" s="67" t="s">
        <v>76</v>
      </c>
      <c r="C7" s="67">
        <v>1219</v>
      </c>
      <c r="D7" s="67">
        <v>39.59483960948395</v>
      </c>
      <c r="E7" s="67"/>
    </row>
    <row r="8" spans="1:5" ht="15">
      <c r="A8" s="67" t="s">
        <v>77</v>
      </c>
      <c r="B8" s="67" t="s">
        <v>75</v>
      </c>
      <c r="C8" s="67">
        <v>4464</v>
      </c>
      <c r="D8" s="67">
        <v>1.3422367705570242</v>
      </c>
      <c r="E8" s="67"/>
    </row>
    <row r="9" spans="1:5" ht="15">
      <c r="A9" s="67"/>
      <c r="B9" s="67" t="s">
        <v>78</v>
      </c>
      <c r="C9" s="67">
        <v>4186</v>
      </c>
      <c r="D9" s="67">
        <v>1091.2891088638369</v>
      </c>
      <c r="E9" s="67"/>
    </row>
    <row r="11" spans="2:4" ht="15">
      <c r="B11" s="67" t="s">
        <v>81</v>
      </c>
      <c r="D11" s="68">
        <f>(C3*D3+C6*D6)/(C3+C6)</f>
        <v>557.1071491616902</v>
      </c>
    </row>
    <row r="12" spans="2:4" ht="15">
      <c r="B12" s="67" t="s">
        <v>82</v>
      </c>
      <c r="D12" s="68">
        <f>D11*D8/D2</f>
        <v>722.565766847286</v>
      </c>
    </row>
    <row r="13" spans="2:4" ht="15">
      <c r="B13" s="67" t="s">
        <v>83</v>
      </c>
      <c r="D13" s="68">
        <f>(D11*(C2+C5)+D12*C8)/(C2+C5+C8)</f>
        <v>659.5492114846444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 Salvador's Productive Development Project</dc:title>
  <dc:subject/>
  <dc:creator>Millennium Challenge Corporation</dc:creator>
  <cp:keywords/>
  <dc:description/>
  <cp:lastModifiedBy>Block, Marissa L (DPE/EE-EA/PSC)</cp:lastModifiedBy>
  <dcterms:created xsi:type="dcterms:W3CDTF">2012-05-15T13:36:36Z</dcterms:created>
  <dcterms:modified xsi:type="dcterms:W3CDTF">2015-03-27T15:06:20Z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