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bin" ContentType="application/vnd.openxmlformats-officedocument.spreadsheetml.printerSettings"/>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Default Extension="vml" ContentType="application/vnd.openxmlformats-officedocument.vmlDrawing"/>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9215" windowHeight="5490" tabRatio="875" firstSheet="3" activeTab="3"/>
  </bookViews>
  <sheets>
    <sheet name="Anexo No 1 y 2" sheetId="1" state="hidden" r:id="rId1"/>
    <sheet name="AGUA262" sheetId="2" state="hidden" r:id="rId2"/>
    <sheet name="Datos de Becas" sheetId="3" state="hidden" r:id="rId3"/>
    <sheet name="User's Guide" sheetId="4" r:id="rId4"/>
    <sheet name="Activity Description" sheetId="5" r:id="rId5"/>
    <sheet name="CB_DATA_" sheetId="6" state="veryHidden" r:id="rId6"/>
    <sheet name="ERR &amp; Sensitivity Analysis" sheetId="7" r:id="rId7"/>
    <sheet name="Cost Benefit Summary" sheetId="8" r:id="rId8"/>
    <sheet name="Key Assumptions" sheetId="9" r:id="rId9"/>
    <sheet name="Poverty Scorecard" sheetId="10" r:id="rId10"/>
    <sheet name="Ingreso Percapita ZN" sheetId="11" state="hidden" r:id="rId11"/>
    <sheet name="Estimacion Empleo AGAPE" sheetId="12" state="hidden" r:id="rId12"/>
  </sheets>
  <definedNames>
    <definedName name="CB_0d74655ed7a24a278313d01cf37c008f" localSheetId="6" hidden="1">'ERR &amp; Sensitivity Analysis'!$D$14</definedName>
    <definedName name="CB_16044db05b7e4de985f2770e62d9b6da" localSheetId="6" hidden="1">'ERR &amp; Sensitivity Analysis'!#REF!</definedName>
    <definedName name="CB_1f0967455b934eca89119d97ccb6adbc" localSheetId="6" hidden="1">'ERR &amp; Sensitivity Analysis'!#REF!</definedName>
    <definedName name="CB_70abc827c9d447bd996f260c5916d400" localSheetId="6" hidden="1">'ERR &amp; Sensitivity Analysis'!#REF!</definedName>
    <definedName name="CB_a71394ff0ccd4f75b68a29d1420f318f" localSheetId="6" hidden="1">'ERR &amp; Sensitivity Analysis'!#REF!</definedName>
    <definedName name="CB_d80aa012a91c47d99c23f0ea995866ec" localSheetId="6" hidden="1">'ERR &amp; Sensitivity Analysis'!$D$19</definedName>
    <definedName name="CB_ec19f19363b34c1e8a0ec17f418232f8" localSheetId="6" hidden="1">'ERR &amp; Sensitivity Analysis'!#REF!</definedName>
    <definedName name="CB_f67d5ad3ba9d4b868cd5238754970945" localSheetId="6" hidden="1">'ERR &amp; Sensitivity Analysis'!#REF!</definedName>
    <definedName name="CBWorkbookPriority" localSheetId="10" hidden="1">-286305403</definedName>
    <definedName name="CBWorkbookPriority" hidden="1">-1590433571</definedName>
    <definedName name="CBx_3a8ec1765fbb4b598c37ec0af2a9fe6f" localSheetId="5" hidden="1">"'CB_DATA_'!$A$1"</definedName>
    <definedName name="CBx_cfff987a51764173b4f0c9e0a7771a44" localSheetId="5" hidden="1">"'ERR &amp; Sensitivity Analysis'!$A$1"</definedName>
    <definedName name="CBx_Sheet_Guid" localSheetId="5" hidden="1">"'3a8ec176-5fbb-4b59-8c37-ec0af2a9fe6f"</definedName>
    <definedName name="CBx_Sheet_Guid" localSheetId="6" hidden="1">"'cfff987a-5176-4173-b4f0-c9e0a7771a44"</definedName>
    <definedName name="Default1">'ERR &amp; Sensitivity Analysis'!$D$10:$D$11</definedName>
    <definedName name="Default2">'ERR &amp; Sensitivity Analysis'!$D$13:$D$14</definedName>
    <definedName name="_xlnm.Print_Area" localSheetId="0">'Anexo No 1 y 2'!$AI$8:$BD$299</definedName>
    <definedName name="_xlnm.Print_Titles" localSheetId="0">'Anexo No 1 y 2'!$AG:$AH,'Anexo No 1 y 2'!$5:$7</definedName>
  </definedNames>
  <calcPr fullCalcOnLoad="1"/>
</workbook>
</file>

<file path=xl/comments10.xml><?xml version="1.0" encoding="utf-8"?>
<comments xmlns="http://schemas.openxmlformats.org/spreadsheetml/2006/main">
  <authors>
    <author>Author</author>
  </authors>
  <commentList>
    <comment ref="L32" authorId="0">
      <text>
        <r>
          <rPr>
            <b/>
            <sz val="8"/>
            <rFont val="Tahoma"/>
            <family val="2"/>
          </rPr>
          <t>Author:</t>
        </r>
        <r>
          <rPr>
            <sz val="8"/>
            <rFont val="Tahoma"/>
            <family val="2"/>
          </rPr>
          <t xml:space="preserve">
From CIA World Factbook. Is there a better estimate?</t>
        </r>
      </text>
    </comment>
  </commentList>
</comments>
</file>

<file path=xl/sharedStrings.xml><?xml version="1.0" encoding="utf-8"?>
<sst xmlns="http://schemas.openxmlformats.org/spreadsheetml/2006/main" count="1701" uniqueCount="520">
  <si>
    <t>Detalle Costos</t>
  </si>
  <si>
    <t>Total</t>
  </si>
  <si>
    <t>Mensual</t>
  </si>
  <si>
    <t>MEGATEC Chalatenango</t>
  </si>
  <si>
    <t xml:space="preserve">     Buildings, workshops, labs and physical assets</t>
  </si>
  <si>
    <t xml:space="preserve">     Instructional Equipment</t>
  </si>
  <si>
    <t xml:space="preserve">     Learning Resources (software, instructional materials</t>
  </si>
  <si>
    <t xml:space="preserve">     Program design and training for MEGATEC personnel</t>
  </si>
  <si>
    <t>SCHOLARSHIPS</t>
  </si>
  <si>
    <t xml:space="preserve">     Scholarships for MEGATEC</t>
  </si>
  <si>
    <t xml:space="preserve">     Scholarships for Middle Schools</t>
  </si>
  <si>
    <t>MIDDLE SCHOOL STRENGHTENING</t>
  </si>
  <si>
    <t xml:space="preserve">     Learning Resources (software, instructional materials)</t>
  </si>
  <si>
    <t xml:space="preserve">     Program design and training for 2,000 middle school</t>
  </si>
  <si>
    <t xml:space="preserve">     Education Sector Technical Assistance Contract</t>
  </si>
  <si>
    <t>COSTO DE MATRICULA</t>
  </si>
  <si>
    <t>BECA 1</t>
  </si>
  <si>
    <t>BECA 2</t>
  </si>
  <si>
    <t>AJUSTES</t>
  </si>
  <si>
    <t>Gastos de educación</t>
  </si>
  <si>
    <t>Matricula anual</t>
  </si>
  <si>
    <t>Mensualidad</t>
  </si>
  <si>
    <t>Refuerzo académico</t>
  </si>
  <si>
    <t>Consumible laboratorio</t>
  </si>
  <si>
    <t>Material bibliográfico</t>
  </si>
  <si>
    <t>Mantenimiento preventivo</t>
  </si>
  <si>
    <t>Gastos personales alumnos</t>
  </si>
  <si>
    <t>Transporte</t>
  </si>
  <si>
    <t>Alimentación</t>
  </si>
  <si>
    <t>Número de beneficiarios</t>
  </si>
  <si>
    <t>año 1</t>
  </si>
  <si>
    <t>año 2</t>
  </si>
  <si>
    <t>año 3</t>
  </si>
  <si>
    <t>año 4</t>
  </si>
  <si>
    <t>año 5</t>
  </si>
  <si>
    <t>año 6</t>
  </si>
  <si>
    <t>…</t>
  </si>
  <si>
    <t>Primera promoción</t>
  </si>
  <si>
    <t>Segunda promoción</t>
  </si>
  <si>
    <t>Tercera promoción</t>
  </si>
  <si>
    <t>Cuarta promoción</t>
  </si>
  <si>
    <t>Quinta promoción</t>
  </si>
  <si>
    <t>Monto de la beca</t>
  </si>
  <si>
    <t>MCC</t>
  </si>
  <si>
    <t>Mined</t>
  </si>
  <si>
    <t>Tasa de generación de ingresos</t>
  </si>
  <si>
    <t>Sumatoria</t>
  </si>
  <si>
    <t>buy water</t>
  </si>
  <si>
    <t>carry water</t>
  </si>
  <si>
    <t>Ahorro</t>
  </si>
  <si>
    <t>Excedente</t>
  </si>
  <si>
    <t>ANEXO No 1</t>
  </si>
  <si>
    <t>ANEXO No 2</t>
  </si>
  <si>
    <t>PORCENTAJE DE HOGARES SEGÚN TIPO DE DISPONIBILIDAD DE SERVICIOS BÁSICOS POR MUNICIPIO, 2004</t>
  </si>
  <si>
    <t>PORCENTAJE DE HOGARES SIN DISPONIBILIDAD DE SERVICIOS BÁSICOS POR MUNICIPIO, 2004</t>
  </si>
  <si>
    <t>ZONA NORTE</t>
  </si>
  <si>
    <t>CODIGO</t>
  </si>
  <si>
    <t>DEPARTAMENTO</t>
  </si>
  <si>
    <t>MUNICIPIO</t>
  </si>
  <si>
    <t>DATOS  MUNICIPIO</t>
  </si>
  <si>
    <t>DISPONIBILIDAD DE ALUMBRADO</t>
  </si>
  <si>
    <t>DISPONIBILIDAD SERVICIO DE AGUA</t>
  </si>
  <si>
    <t>DISPONIBILIDAD SERVICIO SANITARIO</t>
  </si>
  <si>
    <t>TOTAL DE HOGARES</t>
  </si>
  <si>
    <t>POBLACION</t>
  </si>
  <si>
    <t>% HOGARES SIN DISPONIBILIDAD DE</t>
  </si>
  <si>
    <t>Electricidad</t>
  </si>
  <si>
    <t>Conexión Eléctrica Vecino</t>
  </si>
  <si>
    <t>Kerosene (Gas)</t>
  </si>
  <si>
    <t>Candela</t>
  </si>
  <si>
    <t>Otra Clase</t>
  </si>
  <si>
    <t>Cañería Dento y Fuera de la Vivienda</t>
  </si>
  <si>
    <t>Cañería del Vecino</t>
  </si>
  <si>
    <t>Pila o Chorro Público</t>
  </si>
  <si>
    <t>Camión, Carreta o Pipa</t>
  </si>
  <si>
    <t>Pozo (Privado o Común)</t>
  </si>
  <si>
    <t>Ojo de Agua, Río o Quebrada</t>
  </si>
  <si>
    <t>Otros Medios</t>
  </si>
  <si>
    <t>Inodoro a Alcantarillado</t>
  </si>
  <si>
    <t>Inodoro a Fosa Séptica</t>
  </si>
  <si>
    <t>Letrina Privada</t>
  </si>
  <si>
    <t>Inodoro Común a Alcantarillado</t>
  </si>
  <si>
    <t>Inodoro Común a Fosa Séptica</t>
  </si>
  <si>
    <t>Letrina Común</t>
  </si>
  <si>
    <t>No Tiene</t>
  </si>
  <si>
    <t xml:space="preserve">TOTAL </t>
  </si>
  <si>
    <t>CONEXIÓN ELECTRICA PROPIA</t>
  </si>
  <si>
    <t>AGUA CAÑERÍA EN VIVIENDA</t>
  </si>
  <si>
    <t>SANEAMIENTO BASICO</t>
  </si>
  <si>
    <t>TOTAL PAIS</t>
  </si>
  <si>
    <t>TOTAL</t>
  </si>
  <si>
    <t>TOTAL PAÍS</t>
  </si>
  <si>
    <t>ZN</t>
  </si>
  <si>
    <t>S</t>
  </si>
  <si>
    <t>CABAÑAS</t>
  </si>
  <si>
    <t>CINQUERA</t>
  </si>
  <si>
    <t>JUTIAPA</t>
  </si>
  <si>
    <t>CHALATENANGO</t>
  </si>
  <si>
    <t>ARCATAO</t>
  </si>
  <si>
    <t>LA LAGUNA</t>
  </si>
  <si>
    <t>LAS VUELTAS</t>
  </si>
  <si>
    <t>OJOS DE AGUA</t>
  </si>
  <si>
    <t>POTONICO</t>
  </si>
  <si>
    <t>SAN ANTONIO DE LOS RANCHOS</t>
  </si>
  <si>
    <t>SAN FERNANDO</t>
  </si>
  <si>
    <t>SAN FRANCISCO MORAZAN</t>
  </si>
  <si>
    <t>SAN ISIDRO LABRADOR</t>
  </si>
  <si>
    <t>SAN JOSE CANCASQUE</t>
  </si>
  <si>
    <t>MORAZAN</t>
  </si>
  <si>
    <t>GUALOCOCTI</t>
  </si>
  <si>
    <t>GUATAJIAGUA</t>
  </si>
  <si>
    <t>JOATECA</t>
  </si>
  <si>
    <t>SAN ISIDRO</t>
  </si>
  <si>
    <t>SAN SIMON</t>
  </si>
  <si>
    <t>TOROLA</t>
  </si>
  <si>
    <t>SAN MIGUEL</t>
  </si>
  <si>
    <t>CAROLINA</t>
  </si>
  <si>
    <t>SAN ANTONIO DEL MOSCO</t>
  </si>
  <si>
    <t>SANTA ANA</t>
  </si>
  <si>
    <t>MASAHUAT</t>
  </si>
  <si>
    <t>A</t>
  </si>
  <si>
    <t>ILOBASCO</t>
  </si>
  <si>
    <t>TEJUTEPEQUE</t>
  </si>
  <si>
    <t>VILLA DOLORES</t>
  </si>
  <si>
    <t>VILLA VICTORIA</t>
  </si>
  <si>
    <t>VICTORIA</t>
  </si>
  <si>
    <t>AGUA CALIENTE</t>
  </si>
  <si>
    <t>COMALAPA</t>
  </si>
  <si>
    <t>CONCEPCION QUEZALTEPEQUE</t>
  </si>
  <si>
    <t>EL CARRIZAL</t>
  </si>
  <si>
    <t>NOMBRE DE JESUS</t>
  </si>
  <si>
    <t>NUEVA TRINIDAD</t>
  </si>
  <si>
    <t>SAN ANTONIO DE LA CRUZ</t>
  </si>
  <si>
    <t>SAN FRANCISCO LEMPA</t>
  </si>
  <si>
    <t>SAN JOSE LAS FLORES</t>
  </si>
  <si>
    <t>SAN LUIS DEL CARMEN</t>
  </si>
  <si>
    <t>SAN MIGUEL DE MERCEDES</t>
  </si>
  <si>
    <t>LA UNION</t>
  </si>
  <si>
    <t>LISLIQUE</t>
  </si>
  <si>
    <t>SAN JOSE</t>
  </si>
  <si>
    <t>ARAMBALA</t>
  </si>
  <si>
    <t>CACAOPERA</t>
  </si>
  <si>
    <t>CHILANGA</t>
  </si>
  <si>
    <t>CORINTO</t>
  </si>
  <si>
    <t>DELICIAS DE CONCEPCION</t>
  </si>
  <si>
    <t>EL ROSARIO</t>
  </si>
  <si>
    <t>LOLOTIQUILLO</t>
  </si>
  <si>
    <t>SENSEMBRA</t>
  </si>
  <si>
    <t>YAMABAL</t>
  </si>
  <si>
    <t>CIUDAD BARRIOS</t>
  </si>
  <si>
    <t>NUEVO EDEN DE SAN JUAN</t>
  </si>
  <si>
    <t>SAN GERARDO</t>
  </si>
  <si>
    <t>SESORI</t>
  </si>
  <si>
    <t>SANTA ROSA GUACHIPILIN</t>
  </si>
  <si>
    <t>M</t>
  </si>
  <si>
    <t>GUACOTECTI</t>
  </si>
  <si>
    <t>SENSUNTEPEQUE</t>
  </si>
  <si>
    <t>AZACUALPA</t>
  </si>
  <si>
    <t>CITALA</t>
  </si>
  <si>
    <t>DULCE NOMBRE DE MARIA</t>
  </si>
  <si>
    <t>EL PARAISO</t>
  </si>
  <si>
    <t>LA PALMA</t>
  </si>
  <si>
    <t>LA REINA</t>
  </si>
  <si>
    <t>NUEVA CONCEPCION</t>
  </si>
  <si>
    <t>SAN IGNACIO</t>
  </si>
  <si>
    <t>SAN RAFAEL</t>
  </si>
  <si>
    <t>SANTA RITA</t>
  </si>
  <si>
    <t>TEJUTLA</t>
  </si>
  <si>
    <t>CUSCATLAN</t>
  </si>
  <si>
    <t>SUCHITOTO</t>
  </si>
  <si>
    <t>LA LIBERTAD</t>
  </si>
  <si>
    <t>SAN PABLO TACACHICO</t>
  </si>
  <si>
    <t>ANAMOROS</t>
  </si>
  <si>
    <t>BOLIVAR</t>
  </si>
  <si>
    <t>EL SAUCE</t>
  </si>
  <si>
    <t>NUEVA ESPARTA</t>
  </si>
  <si>
    <t>POLOROS</t>
  </si>
  <si>
    <t>EL DIVISADERO</t>
  </si>
  <si>
    <t>JOCOAITIQUE</t>
  </si>
  <si>
    <t>MEANGUERA</t>
  </si>
  <si>
    <t>OSICALA</t>
  </si>
  <si>
    <t>PERQUIN</t>
  </si>
  <si>
    <t>SOCIEDAD</t>
  </si>
  <si>
    <t>SAN LUIS DE LA REINA</t>
  </si>
  <si>
    <t>SAN SALVADOR</t>
  </si>
  <si>
    <t>EL PAISNAL</t>
  </si>
  <si>
    <t>B</t>
  </si>
  <si>
    <t>CONCEPCION DE ORIENTE</t>
  </si>
  <si>
    <t>SANTA ROSA DE LIMA</t>
  </si>
  <si>
    <t>JOCORO</t>
  </si>
  <si>
    <t>SAN CARLOS</t>
  </si>
  <si>
    <t>SAN FRANCISCO GOTERA</t>
  </si>
  <si>
    <t>YOLOAIQUIN</t>
  </si>
  <si>
    <t>CHAPELTIQUE</t>
  </si>
  <si>
    <t>AGUILARES</t>
  </si>
  <si>
    <t>METAPAN</t>
  </si>
  <si>
    <t>public faucet</t>
  </si>
  <si>
    <t>MUNICIPIOS SEGÚN GRADO DE POBREZA EXTREMA</t>
  </si>
  <si>
    <t>Severa</t>
  </si>
  <si>
    <t>Alta</t>
  </si>
  <si>
    <t>Moderada</t>
  </si>
  <si>
    <t>Baja</t>
  </si>
  <si>
    <t>Total Zona Norte</t>
  </si>
  <si>
    <t>Total País</t>
  </si>
  <si>
    <t>Sin Agua ODM</t>
  </si>
  <si>
    <t>Con Agua ODM</t>
  </si>
  <si>
    <t>Base Line</t>
  </si>
  <si>
    <t>NOTA: Se puede ampliar concepto de agua para incluir cañería de vecino, pila o chorro público y pozo privado o público</t>
  </si>
  <si>
    <t xml:space="preserve">           Se puede ampliar concepto de energía para incluir conexión eléctrica del vecino.</t>
  </si>
  <si>
    <t>DIRECCION GENERAL DE ESTADISTICA Y CENSOS</t>
  </si>
  <si>
    <t>FECHA:20/04/06</t>
  </si>
  <si>
    <t>MAPA DE POBREZA 262 MUNICIPIOS- 2004</t>
  </si>
  <si>
    <t>TOTAL DE</t>
  </si>
  <si>
    <t>GASTO DE AGUA EN COLONES</t>
  </si>
  <si>
    <t>HOGARES</t>
  </si>
  <si>
    <t>GASTO</t>
  </si>
  <si>
    <t>CON ACCESO</t>
  </si>
  <si>
    <t>comprado</t>
  </si>
  <si>
    <t>regalado</t>
  </si>
  <si>
    <t>incluido</t>
  </si>
  <si>
    <t xml:space="preserve">no gasto  </t>
  </si>
  <si>
    <t>no sabe</t>
  </si>
  <si>
    <t>POR HOGAR</t>
  </si>
  <si>
    <t>DE AGUA</t>
  </si>
  <si>
    <t>alquiler</t>
  </si>
  <si>
    <t>(dolares)</t>
  </si>
  <si>
    <t>cañeria</t>
  </si>
  <si>
    <t>-</t>
  </si>
  <si>
    <t>M3</t>
  </si>
  <si>
    <t>dentro viv.</t>
  </si>
  <si>
    <t>fuera viv.</t>
  </si>
  <si>
    <t>del vecino</t>
  </si>
  <si>
    <t>pila o chorro</t>
  </si>
  <si>
    <t>publico</t>
  </si>
  <si>
    <t>chorro comun</t>
  </si>
  <si>
    <t>camion,carreta</t>
  </si>
  <si>
    <t>o pipa</t>
  </si>
  <si>
    <t>pozo</t>
  </si>
  <si>
    <t>ojo de agua</t>
  </si>
  <si>
    <t>otros medios</t>
  </si>
  <si>
    <t>NOTA: TENER CUIDAD</t>
  </si>
  <si>
    <t>O CON LOS VAL</t>
  </si>
  <si>
    <t>ORES DE GASTO</t>
  </si>
  <si>
    <t>S YA QUE ES</t>
  </si>
  <si>
    <t>TAS VARIABL</t>
  </si>
  <si>
    <t>ES NO HAN SI</t>
  </si>
  <si>
    <t>DO DEPURADAS.</t>
  </si>
  <si>
    <t>_x000C_</t>
  </si>
  <si>
    <t>TOTAL PAIS URBANO</t>
  </si>
  <si>
    <t>ﾚﾄ</t>
  </si>
  <si>
    <t>ﾀﾄ</t>
  </si>
  <si>
    <t>TOTAL PAIS RURAL</t>
  </si>
  <si>
    <t>without project</t>
  </si>
  <si>
    <t>with project</t>
  </si>
  <si>
    <t>Beneficio</t>
  </si>
  <si>
    <t>Qo (m3)</t>
  </si>
  <si>
    <t>Po ($/m3)</t>
  </si>
  <si>
    <t>Q1 (m3)</t>
  </si>
  <si>
    <t>P1 ($/m3)</t>
  </si>
  <si>
    <t>Costos</t>
  </si>
  <si>
    <t>Consumidor</t>
  </si>
  <si>
    <t>Total Anual</t>
  </si>
  <si>
    <t xml:space="preserve">with </t>
  </si>
  <si>
    <t>project</t>
  </si>
  <si>
    <t>expenditure</t>
  </si>
  <si>
    <t>Admin and TA</t>
  </si>
  <si>
    <t>Permanent employment</t>
  </si>
  <si>
    <t>Cost per beneficiary</t>
  </si>
  <si>
    <t>Attrition</t>
  </si>
  <si>
    <t>INSAFORP Impact Study</t>
  </si>
  <si>
    <t>Base Salary - Schedule E03</t>
  </si>
  <si>
    <t>Detailed Costs</t>
  </si>
  <si>
    <t>Total Costs</t>
  </si>
  <si>
    <t>Benefits</t>
  </si>
  <si>
    <t>Total Benefits</t>
  </si>
  <si>
    <t>Net Benefit Flow</t>
  </si>
  <si>
    <t>ERR and sensitivity analysis</t>
  </si>
  <si>
    <t>Description of key parameters</t>
  </si>
  <si>
    <t>Parameter values</t>
  </si>
  <si>
    <t>Values used in ERR computation</t>
  </si>
  <si>
    <t>Economic rate of return (ERR):</t>
  </si>
  <si>
    <t>ERR Analysis</t>
  </si>
  <si>
    <t>Amount of MCC funds</t>
  </si>
  <si>
    <t>$5 million</t>
  </si>
  <si>
    <t>Benefit streams included in ERR</t>
  </si>
  <si>
    <t>Date</t>
  </si>
  <si>
    <t>Incremental increase in income for students who complete the training course and are employed</t>
  </si>
  <si>
    <t>None</t>
  </si>
  <si>
    <t>ERR &amp; Sensitivity Analysis</t>
  </si>
  <si>
    <t>Summary</t>
  </si>
  <si>
    <t>Components</t>
  </si>
  <si>
    <t>Economic Rationale</t>
  </si>
  <si>
    <t>INSAFORP = Instituto Salvadoreño de Formación Profesional</t>
  </si>
  <si>
    <t>User Input</t>
  </si>
  <si>
    <t>Specific</t>
  </si>
  <si>
    <t>Actual costs as a percentage of estimated costs</t>
  </si>
  <si>
    <t>Actual benefits as a percentage of estimated benefits</t>
  </si>
  <si>
    <t>80 - 120%</t>
  </si>
  <si>
    <t>MCC Estimate</t>
  </si>
  <si>
    <t>All summary parameters set to initial values?</t>
  </si>
  <si>
    <t>Cost Scenario</t>
  </si>
  <si>
    <t>Benefit Scenario</t>
  </si>
  <si>
    <r>
      <t>Change the "</t>
    </r>
    <r>
      <rPr>
        <sz val="10"/>
        <color indexed="12"/>
        <rFont val="Arial"/>
        <family val="2"/>
      </rPr>
      <t>User Input</t>
    </r>
    <r>
      <rPr>
        <sz val="10"/>
        <rFont val="Arial"/>
        <family val="2"/>
      </rPr>
      <t>" cells in the table below to see the effect on the compact's Economic Rate of Return (ERR) and net benefits (see chart below).  To reset all values to the default MCC estimates, click the "</t>
    </r>
    <r>
      <rPr>
        <sz val="10"/>
        <color indexed="12"/>
        <rFont val="Arial"/>
        <family val="2"/>
      </rPr>
      <t>Reset Parameters</t>
    </r>
    <r>
      <rPr>
        <sz val="10"/>
        <rFont val="Arial"/>
        <family val="2"/>
      </rPr>
      <t>" button at right.  Be sure to reset all summary parameters to their original values ("MCC Estimate" values) before changing specific parameters.</t>
    </r>
  </si>
  <si>
    <t xml:space="preserve">   The Non-formal Skills Development Sub-Activity will complement the Formal Technical Education Sub-Activity by supporting non-credit, short term and pre-employment training offerings. This Sub-Activity will expand access to informal education and training activities to the poor, women, and at-risk youth, and others who are unlikely or unable to attend the extended programs of the middle technical schools, whether because of family responsibilities or because of inadequate educational foundation.</t>
  </si>
  <si>
    <t xml:space="preserve">   More Info</t>
  </si>
  <si>
    <t>Parameter type</t>
  </si>
  <si>
    <t>El Salvador: Non-formal Skills Development</t>
  </si>
  <si>
    <t>El Salvador: Non-Formal Skills Development</t>
  </si>
  <si>
    <t>Activity Description</t>
  </si>
  <si>
    <t xml:space="preserve">     INSAFORP will manage the Informal Skills Development Sub-Activity through contracts with competitively selected service providers, including private firms, NGOs, and other organizations qualified to deliver training services. Training programs and courses will be determined based on diagnostics and work plans developed with the support of technical assistance. Programs will focus on short-term, pre-employment training for immediate job seekers. Business development skills will contribute to the creation and operation of small and medium enterprises.</t>
  </si>
  <si>
    <t>Plausible range</t>
  </si>
  <si>
    <t xml:space="preserve">     The primary benefits of the project will be increased skills, employment opportunities and income (through formal jobs or self-employment) for people who receive the training.  By expanding the quality of, and access to, vocational and technical education and training, the regional economy will experience gains in human capital.</t>
  </si>
  <si>
    <r>
      <rPr>
        <b/>
        <u val="single"/>
        <sz val="10"/>
        <rFont val="Arial"/>
        <family val="2"/>
      </rPr>
      <t>Definición</t>
    </r>
    <r>
      <rPr>
        <sz val="10"/>
        <rFont val="Arial"/>
        <family val="2"/>
      </rPr>
      <t>.</t>
    </r>
    <r>
      <rPr>
        <sz val="10"/>
        <color indexed="12"/>
        <rFont val="Arial"/>
        <family val="2"/>
      </rPr>
      <t xml:space="preserve"> </t>
    </r>
    <r>
      <rPr>
        <b/>
        <sz val="10"/>
        <color indexed="12"/>
        <rFont val="Arial"/>
        <family val="2"/>
      </rPr>
      <t>INGRESO PERCÁPITA</t>
    </r>
    <r>
      <rPr>
        <sz val="10"/>
        <color indexed="12"/>
        <rFont val="Arial"/>
        <family val="2"/>
      </rPr>
      <t>: Suma de Ingreso Familiar  entre Número total de Individuos de la Población = [SUMA(INGFA)]/N</t>
    </r>
  </si>
  <si>
    <t>INGRESO PERCAPITA ZONA NORTE 2007.</t>
  </si>
  <si>
    <r>
      <rPr>
        <b/>
        <sz val="9"/>
        <color indexed="8"/>
        <rFont val="Arial Bold"/>
        <family val="0"/>
      </rPr>
      <t>Estadísticos descriptivos</t>
    </r>
  </si>
  <si>
    <t>URBANO</t>
  </si>
  <si>
    <r>
      <rPr>
        <sz val="9"/>
        <color indexed="8"/>
        <rFont val="Arial"/>
        <family val="2"/>
      </rPr>
      <t>N</t>
    </r>
  </si>
  <si>
    <r>
      <rPr>
        <sz val="9"/>
        <color indexed="8"/>
        <rFont val="Arial"/>
        <family val="2"/>
      </rPr>
      <t>Suma</t>
    </r>
  </si>
  <si>
    <t>RURAL</t>
  </si>
  <si>
    <r>
      <rPr>
        <sz val="9"/>
        <color indexed="8"/>
        <rFont val="Arial"/>
        <family val="2"/>
      </rPr>
      <t>Ingreso Familiar</t>
    </r>
  </si>
  <si>
    <t>Fuente:  EHPM ZN 2007.</t>
  </si>
  <si>
    <r>
      <rPr>
        <sz val="9"/>
        <color indexed="8"/>
        <rFont val="Arial"/>
        <family val="2"/>
      </rPr>
      <t>N válido (según lista)</t>
    </r>
  </si>
  <si>
    <r>
      <rPr>
        <b/>
        <sz val="9"/>
        <color indexed="8"/>
        <rFont val="Arial Bold"/>
        <family val="0"/>
      </rPr>
      <t>Estadísticos descriptivos</t>
    </r>
    <r>
      <rPr>
        <b/>
        <vertAlign val="superscript"/>
        <sz val="9"/>
        <color indexed="8"/>
        <rFont val="Arial Bold"/>
        <family val="0"/>
      </rPr>
      <t>a</t>
    </r>
  </si>
  <si>
    <r>
      <rPr>
        <sz val="9"/>
        <color indexed="8"/>
        <rFont val="Arial"/>
        <family val="2"/>
      </rPr>
      <t>a. Area de ubicación del hogar = Urbana</t>
    </r>
  </si>
  <si>
    <r>
      <rPr>
        <sz val="9"/>
        <color indexed="8"/>
        <rFont val="Arial"/>
        <family val="2"/>
      </rPr>
      <t>a. Area de ubicación del hogar = Rural</t>
    </r>
  </si>
  <si>
    <r>
      <rPr>
        <sz val="9"/>
        <color indexed="8"/>
        <rFont val="Arial"/>
        <family val="2"/>
      </rPr>
      <t>Frecuencia</t>
    </r>
  </si>
  <si>
    <r>
      <rPr>
        <sz val="9"/>
        <color indexed="8"/>
        <rFont val="Arial"/>
        <family val="2"/>
      </rPr>
      <t>Porcentaje</t>
    </r>
  </si>
  <si>
    <r>
      <rPr>
        <sz val="9"/>
        <color indexed="8"/>
        <rFont val="Arial"/>
        <family val="2"/>
      </rPr>
      <t>Porcentaje válido</t>
    </r>
  </si>
  <si>
    <r>
      <rPr>
        <sz val="9"/>
        <color indexed="8"/>
        <rFont val="Arial"/>
        <family val="2"/>
      </rPr>
      <t>Porcentaje acumulado</t>
    </r>
  </si>
  <si>
    <r>
      <rPr>
        <sz val="9"/>
        <color indexed="8"/>
        <rFont val="Arial"/>
        <family val="2"/>
      </rPr>
      <t>Urbana</t>
    </r>
  </si>
  <si>
    <r>
      <rPr>
        <sz val="9"/>
        <color indexed="8"/>
        <rFont val="Arial"/>
        <family val="2"/>
      </rPr>
      <t>Rural</t>
    </r>
  </si>
  <si>
    <t>20-year ERR</t>
  </si>
  <si>
    <t>20 years</t>
  </si>
  <si>
    <t>CAPACITADOS DE FOMILENIO QUE SE ESTAN DESEMPEÑANDO LABORALMENTE</t>
  </si>
  <si>
    <t>Nº</t>
  </si>
  <si>
    <t>PROGRAMA</t>
  </si>
  <si>
    <t>EMPLEADOS</t>
  </si>
  <si>
    <t>AUTOEMPLEO</t>
  </si>
  <si>
    <t>FINALIZADOS</t>
  </si>
  <si>
    <t>% DE EMPLEO</t>
  </si>
  <si>
    <t>% DE AUTOEMPLEO</t>
  </si>
  <si>
    <t>FECHA DE FINALIZACION</t>
  </si>
  <si>
    <t>TIEMPO (AÑOS) DE LA MEDICION</t>
  </si>
  <si>
    <t>TIPO DE</t>
  </si>
  <si>
    <t>ANTES</t>
  </si>
  <si>
    <t>HOY</t>
  </si>
  <si>
    <t>La Palma / Mesero Bartender</t>
  </si>
  <si>
    <t>EMPLEO</t>
  </si>
  <si>
    <t>Estimación 1 Año</t>
  </si>
  <si>
    <t>Proyección Líneal a 1 Año</t>
  </si>
  <si>
    <t>Chalatenango / Estructuras Metalicas</t>
  </si>
  <si>
    <t>Concepcion Quezaltepeque / Bisuteria</t>
  </si>
  <si>
    <t>PERMANENTE</t>
  </si>
  <si>
    <t>Dulce Nombre de Maria / Bisuteria</t>
  </si>
  <si>
    <t>Concepcion Quezaltepeque /  Cocina</t>
  </si>
  <si>
    <t>La Laguna / Cocina</t>
  </si>
  <si>
    <t>AUTOEMPLEADO</t>
  </si>
  <si>
    <t>Suchitoto / Mesero Bartender</t>
  </si>
  <si>
    <t>San Luis de Carmen / Canton El Pital / Mesero Bartender</t>
  </si>
  <si>
    <t>San Jose las Flores / Cocina</t>
  </si>
  <si>
    <t>años</t>
  </si>
  <si>
    <t>días</t>
  </si>
  <si>
    <t>meses</t>
  </si>
  <si>
    <t>FECHA ENVIO CUADRO</t>
  </si>
  <si>
    <t>AGAPE</t>
  </si>
  <si>
    <t xml:space="preserve">FACTOR </t>
  </si>
  <si>
    <t>TIEMPO</t>
  </si>
  <si>
    <t>FUENTE: Asociación AGAPE</t>
  </si>
  <si>
    <t>Participants (ages 19-55)</t>
  </si>
  <si>
    <t>Y5</t>
  </si>
  <si>
    <t>Y10</t>
  </si>
  <si>
    <t>Inflation Adjustment:</t>
  </si>
  <si>
    <t>CPI 2007=100</t>
  </si>
  <si>
    <t>Inflation Rate 2014</t>
  </si>
  <si>
    <t>Annual Compact Administration Cost ($000)</t>
  </si>
  <si>
    <t>Annual Compact Admistration Costs, Annual Technical Assistance Contract, Annual Workshop Costs &amp; Annual Administration Cost are in Nominal Basis,</t>
  </si>
  <si>
    <t>Inflation multiplier to adjust to 2007 dollars</t>
  </si>
  <si>
    <t>Total costs in 2007 dollars</t>
  </si>
  <si>
    <t>Inflation</t>
  </si>
  <si>
    <t xml:space="preserve">Last updated:  </t>
  </si>
  <si>
    <t>Variable</t>
  </si>
  <si>
    <t>Measurement Unit</t>
  </si>
  <si>
    <t>Description</t>
  </si>
  <si>
    <t>Vocational Education observations</t>
  </si>
  <si>
    <t># of responders</t>
  </si>
  <si>
    <t># of individuals taking part in the Impact Evaluation</t>
  </si>
  <si>
    <t>Found Permanent Employment</t>
  </si>
  <si>
    <t>Personal/Self Employed</t>
  </si>
  <si>
    <t>Individuals in the IE who found permanent employment due to training</t>
  </si>
  <si>
    <t>Individuals in the IE who found permanent self employment due to training</t>
  </si>
  <si>
    <t>Temporary Employment</t>
  </si>
  <si>
    <t>Individuals in the IE who found temporary employment due to training</t>
  </si>
  <si>
    <t>Temporary self employment</t>
  </si>
  <si>
    <t>Individuals in IE who found temporary self employment due to training</t>
  </si>
  <si>
    <t>Individuals w/out employment from training</t>
  </si>
  <si>
    <t>Income Change, Permanent</t>
  </si>
  <si>
    <t>Income change of permanent employed</t>
  </si>
  <si>
    <t>Income change, self/personal</t>
  </si>
  <si>
    <t>Income change self employed</t>
  </si>
  <si>
    <t>Income change, temporary</t>
  </si>
  <si>
    <t>$/year</t>
  </si>
  <si>
    <t>Income change, temporary self</t>
  </si>
  <si>
    <t>Income change or the temporarily employed</t>
  </si>
  <si>
    <t>Income change of the temporarily self employed</t>
  </si>
  <si>
    <t>Income change, no employment</t>
  </si>
  <si>
    <t>Income change of those who did not find any use for the training</t>
  </si>
  <si>
    <t>Permanent Self employment</t>
  </si>
  <si>
    <t>Temporary Self Employment</t>
  </si>
  <si>
    <t>Annual income change without training ($000)</t>
  </si>
  <si>
    <t>Created Jobs</t>
  </si>
  <si>
    <t>%</t>
  </si>
  <si>
    <t>% of post-education jobs that were new, estimate.</t>
  </si>
  <si>
    <t>No employment effect</t>
  </si>
  <si>
    <t>Custome Business</t>
  </si>
  <si>
    <t>Income change, those who found custome business</t>
  </si>
  <si>
    <t>Annual Income change, Custom Business</t>
  </si>
  <si>
    <t>Income Increase by group</t>
  </si>
  <si>
    <t>Custom Business</t>
  </si>
  <si>
    <t>Participant Distribution</t>
  </si>
  <si>
    <t>MCC Spending (2008 USD)</t>
  </si>
  <si>
    <t>2010 to 2008 USD conversion</t>
  </si>
  <si>
    <t>Inflation multiplier to adjust to 2008 dollars</t>
  </si>
  <si>
    <t>Total costs in 2008 USD</t>
  </si>
  <si>
    <t>USD</t>
  </si>
  <si>
    <t>Participant Distribution, year 1</t>
  </si>
  <si>
    <t>Participant Distribution, year 2</t>
  </si>
  <si>
    <t>Participant Distribution, year 3</t>
  </si>
  <si>
    <t>Participant Distribution, year 4</t>
  </si>
  <si>
    <t>Participant Distribution, year 5</t>
  </si>
  <si>
    <t>% of Beneficiaries</t>
  </si>
  <si>
    <t>Displacement (% of income gains that displace other non-measured income of non-participants)</t>
  </si>
  <si>
    <t>0-50%</t>
  </si>
  <si>
    <t>Income Change Without Training</t>
  </si>
  <si>
    <t>MCC Estimated ERRs:</t>
  </si>
  <si>
    <t>Original</t>
  </si>
  <si>
    <t>Revised</t>
  </si>
  <si>
    <t>Closeout</t>
  </si>
  <si>
    <t>ERR</t>
  </si>
  <si>
    <t>Original ERR</t>
  </si>
  <si>
    <t>Revised ERR</t>
  </si>
  <si>
    <t>This sheet should be read first, as it offers a summary of the project, a list of components, and states the economic rationale for the project.</t>
  </si>
  <si>
    <t>This sheet contains brief summary of the project's key parameters and ERR calculations, giving the user the opportunity to test the sensitivity to the ERR of various changes in parameters.</t>
  </si>
  <si>
    <t>Cost Benefit Summary</t>
  </si>
  <si>
    <t>This worksheet summarizes the costs and benefits associated with MCC investments at the project level. Benefits are summarized by year, and the associated ERR is computed over a 20-year timeframe</t>
  </si>
  <si>
    <t>This worksheet presents the primary hard-coded variables used in the ERR, along with their sources.</t>
  </si>
  <si>
    <t>36% over 25 years</t>
  </si>
  <si>
    <t>$4.5 million</t>
  </si>
  <si>
    <t>Key Assumptions and Parameters</t>
  </si>
  <si>
    <t xml:space="preserve">     Based on INSAFORP´s Impact Evaluation Study and data on salaries from the 2007 Household survey, the return of informal skill development was estimated to be 18 percent. It is projected that there will be 8,400 inhabitants of Northern Zone enrolled in non formal and training activities, of which 80% will graduate. Around 44.5 percent of the graduates will be employed and their incomes will increase by an average of $268.</t>
  </si>
  <si>
    <t>Annual income change with Training Permanent</t>
  </si>
  <si>
    <t>Annual income change with Training Self employed</t>
  </si>
  <si>
    <t>Annual income change with Training Temporary</t>
  </si>
  <si>
    <t xml:space="preserve">Annual income change with Training Temporary Self </t>
  </si>
  <si>
    <t>Additional income (Thousands 2008 USD)</t>
  </si>
  <si>
    <t>$107.8-207.8</t>
  </si>
  <si>
    <t>12.1% over 20 years</t>
  </si>
  <si>
    <t>Closeout ERR</t>
  </si>
  <si>
    <t>ERR Version</t>
  </si>
  <si>
    <t>Date of ERR</t>
  </si>
  <si>
    <t>Project Description</t>
  </si>
  <si>
    <t>The Non-formal Skills Development Sub-Activity will complement the Formal Technical Education Sub-Activity by supporting non-credit, short term and pre-employment training offerings. This Sub-Activity will expand access to informal education and training activities to the poor, women, and at-risk youth, and others who are unlikely or unable to attend the extended programs of the middle technical schools, whether because of family responsibilities or because of inadequate educational foundation.</t>
  </si>
  <si>
    <t>Costs included in ERR (not borne by MCC)</t>
  </si>
  <si>
    <t>ERR estimations and time horizon</t>
  </si>
  <si>
    <t>Table of Contents</t>
  </si>
  <si>
    <t>Additional graduates due to increased school capacity along with additional income per graduate based on employment and average income with education.</t>
  </si>
  <si>
    <t xml:space="preserve">Key Assumptions </t>
  </si>
  <si>
    <t>User's Guide</t>
  </si>
  <si>
    <t>Projection</t>
  </si>
  <si>
    <t>25 years</t>
  </si>
  <si>
    <t>Present Value (PV) of Benefits:</t>
  </si>
  <si>
    <t>Present Value (PV) of MCC Costs:</t>
  </si>
  <si>
    <t>Economist Assumption</t>
  </si>
  <si>
    <t>Value Used</t>
  </si>
  <si>
    <t>IMF World Economic Outlook</t>
  </si>
  <si>
    <t>Households</t>
  </si>
  <si>
    <t>Individuals</t>
  </si>
  <si>
    <t>Monthly Income (EHPM ZN 2007)</t>
  </si>
  <si>
    <t>Annual Income</t>
  </si>
  <si>
    <t>Annual Increase in Income</t>
  </si>
  <si>
    <t>Beneficiaries</t>
  </si>
  <si>
    <t>% Increase in Annual Income</t>
  </si>
  <si>
    <t>% Increase in Annual Income- 2012</t>
  </si>
  <si>
    <t>% Increase in Annual Income - 2017</t>
  </si>
  <si>
    <t>Compact Year</t>
  </si>
  <si>
    <t>were deflated with correspondent Annual CPI  in order to reflect Prices of 2008</t>
  </si>
  <si>
    <t>From Impact Evaluation</t>
  </si>
  <si>
    <t>Poverty Scorecard</t>
  </si>
  <si>
    <t>El Salvador</t>
  </si>
  <si>
    <t>Informal Education Activity</t>
  </si>
  <si>
    <r>
      <t xml:space="preserve">MCC Cost </t>
    </r>
    <r>
      <rPr>
        <b/>
        <sz val="8"/>
        <rFont val="Arial"/>
        <family val="2"/>
      </rPr>
      <t>(Millions USD)</t>
    </r>
  </si>
  <si>
    <t>20-Year ERR</t>
  </si>
  <si>
    <r>
      <t xml:space="preserve">Present Value </t>
    </r>
    <r>
      <rPr>
        <b/>
        <sz val="8"/>
        <rFont val="Arial"/>
        <family val="2"/>
      </rPr>
      <t>(PV)</t>
    </r>
    <r>
      <rPr>
        <b/>
        <sz val="9"/>
        <rFont val="Arial"/>
        <family val="2"/>
      </rPr>
      <t xml:space="preserve"> of Benefit Stream </t>
    </r>
    <r>
      <rPr>
        <b/>
        <sz val="8"/>
        <rFont val="Arial"/>
        <family val="2"/>
      </rPr>
      <t>(Millions USD)</t>
    </r>
  </si>
  <si>
    <r>
      <t>Present Value (PV) of All Costs (</t>
    </r>
    <r>
      <rPr>
        <b/>
        <sz val="8"/>
        <rFont val="Arial"/>
        <family val="2"/>
      </rPr>
      <t>Millions 2005 PPP $</t>
    </r>
    <r>
      <rPr>
        <b/>
        <sz val="9"/>
        <rFont val="Arial"/>
        <family val="2"/>
      </rPr>
      <t>)</t>
    </r>
  </si>
  <si>
    <t>Consumption per day (PPP $)</t>
  </si>
  <si>
    <t>&lt; $1.25</t>
  </si>
  <si>
    <r>
      <t xml:space="preserve">&lt; $2 </t>
    </r>
    <r>
      <rPr>
        <vertAlign val="superscript"/>
        <sz val="9"/>
        <rFont val="Arial"/>
        <family val="2"/>
      </rPr>
      <t>1</t>
    </r>
    <r>
      <rPr>
        <sz val="9"/>
        <rFont val="Arial"/>
        <family val="2"/>
      </rPr>
      <t xml:space="preserve"> </t>
    </r>
  </si>
  <si>
    <t>$2-$4</t>
  </si>
  <si>
    <t>&gt; $4</t>
  </si>
  <si>
    <r>
      <t xml:space="preserve">Beneficiary Households in Year 20 </t>
    </r>
    <r>
      <rPr>
        <sz val="8"/>
        <rFont val="Arial"/>
        <family val="2"/>
      </rPr>
      <t>(#)</t>
    </r>
  </si>
  <si>
    <t>The Magnitude of the Benefits</t>
  </si>
  <si>
    <r>
      <t xml:space="preserve">PV of Benefit Stream Per Beneficiary </t>
    </r>
    <r>
      <rPr>
        <sz val="8"/>
        <rFont val="Arial"/>
        <family val="2"/>
      </rPr>
      <t xml:space="preserve">(USD) </t>
    </r>
  </si>
  <si>
    <r>
      <t>PV of Benefit Stream as Share of Annual Income</t>
    </r>
    <r>
      <rPr>
        <sz val="8"/>
        <rFont val="Arial"/>
        <family val="2"/>
      </rPr>
      <t xml:space="preserve"> (%)</t>
    </r>
  </si>
  <si>
    <t>Cost Effectiveness</t>
  </si>
  <si>
    <r>
      <t xml:space="preserve">PV of Benefit Stream/Project Dollar </t>
    </r>
    <r>
      <rPr>
        <sz val="8"/>
        <rFont val="Arial"/>
        <family val="2"/>
      </rPr>
      <t>(USD/USD)</t>
    </r>
  </si>
  <si>
    <t>Current National Population</t>
  </si>
  <si>
    <t>NB: all benefits incremental; PVs based on 10% discount rate and exclude MCC costs but net out any local costs</t>
  </si>
  <si>
    <r>
      <t xml:space="preserve">1    </t>
    </r>
    <r>
      <rPr>
        <sz val="8"/>
        <rFont val="Arial"/>
        <family val="2"/>
      </rPr>
      <t>The beneficiaries and population living on less than $2 per day include those under $1.25 per day</t>
    </r>
  </si>
  <si>
    <t>This worksheet shows the cost effectiveness of the project broken out into different poverty categories.</t>
  </si>
  <si>
    <r>
      <t xml:space="preserve">Beneficiary Individuals in Year 20 </t>
    </r>
    <r>
      <rPr>
        <vertAlign val="superscript"/>
        <sz val="9"/>
        <rFont val="Arial"/>
        <family val="2"/>
      </rPr>
      <t>2</t>
    </r>
    <r>
      <rPr>
        <sz val="9"/>
        <rFont val="Arial"/>
        <family val="2"/>
      </rPr>
      <t xml:space="preserve"> </t>
    </r>
    <r>
      <rPr>
        <sz val="8"/>
        <rFont val="Arial"/>
        <family val="2"/>
      </rPr>
      <t>(#)</t>
    </r>
  </si>
  <si>
    <r>
      <t xml:space="preserve">National Population in Year 20 </t>
    </r>
    <r>
      <rPr>
        <vertAlign val="superscript"/>
        <sz val="9"/>
        <rFont val="Arial"/>
        <family val="2"/>
      </rPr>
      <t>3</t>
    </r>
    <r>
      <rPr>
        <sz val="9"/>
        <rFont val="Arial"/>
        <family val="2"/>
      </rPr>
      <t xml:space="preserve"> </t>
    </r>
    <r>
      <rPr>
        <sz val="8"/>
        <rFont val="Arial"/>
        <family val="2"/>
      </rPr>
      <t>(#)</t>
    </r>
  </si>
  <si>
    <r>
      <t xml:space="preserve">Beneficiary Population by Poverty Level </t>
    </r>
    <r>
      <rPr>
        <sz val="8"/>
        <rFont val="Arial"/>
        <family val="2"/>
      </rPr>
      <t xml:space="preserve">(%) </t>
    </r>
    <r>
      <rPr>
        <vertAlign val="superscript"/>
        <sz val="8"/>
        <rFont val="Arial"/>
        <family val="2"/>
      </rPr>
      <t>4</t>
    </r>
  </si>
  <si>
    <r>
      <t xml:space="preserve">National Population by Poverty Level </t>
    </r>
    <r>
      <rPr>
        <vertAlign val="superscript"/>
        <sz val="9"/>
        <rFont val="Arial"/>
        <family val="2"/>
      </rPr>
      <t>5</t>
    </r>
    <r>
      <rPr>
        <sz val="9"/>
        <rFont val="Arial"/>
        <family val="2"/>
      </rPr>
      <t xml:space="preserve"> </t>
    </r>
    <r>
      <rPr>
        <sz val="8"/>
        <rFont val="Arial"/>
        <family val="2"/>
      </rPr>
      <t>(%)</t>
    </r>
  </si>
  <si>
    <r>
      <t xml:space="preserve">GNI per capita </t>
    </r>
    <r>
      <rPr>
        <vertAlign val="superscript"/>
        <sz val="9"/>
        <rFont val="Arial"/>
        <family val="2"/>
      </rPr>
      <t xml:space="preserve">6 </t>
    </r>
    <r>
      <rPr>
        <sz val="9"/>
        <rFont val="Arial"/>
        <family val="2"/>
      </rPr>
      <t>(USD)</t>
    </r>
  </si>
  <si>
    <r>
      <t xml:space="preserve">2   </t>
    </r>
    <r>
      <rPr>
        <sz val="8"/>
        <rFont val="Arial"/>
        <family val="2"/>
      </rPr>
      <t>CIDE Survey Results</t>
    </r>
  </si>
  <si>
    <r>
      <t xml:space="preserve">3    </t>
    </r>
    <r>
      <rPr>
        <sz val="8"/>
        <rFont val="Arial"/>
        <family val="2"/>
      </rPr>
      <t>Based on estimated 2009 population (CIA World Factbook), projected to Year 20</t>
    </r>
  </si>
  <si>
    <r>
      <t xml:space="preserve">4,5 </t>
    </r>
    <r>
      <rPr>
        <sz val="8"/>
        <rFont val="Arial"/>
        <family val="2"/>
      </rPr>
      <t>Based on National income distribution figures from ESPS 2005-2006 data</t>
    </r>
  </si>
  <si>
    <r>
      <t xml:space="preserve">6   </t>
    </r>
    <r>
      <rPr>
        <sz val="8"/>
        <rFont val="Arial"/>
        <family val="2"/>
      </rPr>
      <t>See MCC 2009 Scorecard</t>
    </r>
  </si>
  <si>
    <t>2008 USD, 10% discount rate</t>
  </si>
  <si>
    <t>18.3% over 20 years</t>
  </si>
  <si>
    <t>The final activity trained 11,856 individuals of whom 45% found employment using the skills they were trained in.  The final ERR was updated to include the final training results, along with wage increases gathered via survey data.</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</si>
</sst>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quot;€&quot;_-;\-* #,##0.00\ &quot;€&quot;_-;_-* &quot;-&quot;??\ &quot;€&quot;_-;_-@_-"/>
    <numFmt numFmtId="165" formatCode="_-* #,##0.00\ _€_-;\-* #,##0.00\ _€_-;_-* &quot;-&quot;??\ _€_-;_-@_-"/>
    <numFmt numFmtId="166" formatCode="[$$-440A]#,##0.00"/>
    <numFmt numFmtId="167" formatCode="[$$-440A]#,##0.00_ ;[Red]\-[$$-440A]#,##0.00\ "/>
    <numFmt numFmtId="168" formatCode="[$$-440A]#,##0"/>
    <numFmt numFmtId="169" formatCode="&quot;$&quot;#,##0"/>
    <numFmt numFmtId="170" formatCode="&quot;$&quot;#,##0.00"/>
    <numFmt numFmtId="171" formatCode="&quot;$&quot;#,##0.0"/>
    <numFmt numFmtId="172" formatCode="0.0%"/>
    <numFmt numFmtId="173" formatCode="#,##0.0"/>
    <numFmt numFmtId="174" formatCode="0.0"/>
    <numFmt numFmtId="175" formatCode="0.000"/>
    <numFmt numFmtId="176" formatCode="&quot;$&quot;#,##0.000"/>
    <numFmt numFmtId="177" formatCode="[$$-440A]#,##0.00_ ;\-[$$-440A]#,##0.00\ "/>
    <numFmt numFmtId="178" formatCode="_(* #,##0_);_(* \(#,##0\);_(* &quot;-&quot;??_);_(@_)"/>
    <numFmt numFmtId="179" formatCode="_(&quot;$&quot;* #,##0_);_(&quot;$&quot;* \(#,##0\);_(&quot;$&quot;* &quot;-&quot;??_);_(@_)"/>
    <numFmt numFmtId="180" formatCode="###0"/>
    <numFmt numFmtId="181" formatCode="####.0"/>
    <numFmt numFmtId="182" formatCode="#,##0.000"/>
    <numFmt numFmtId="183" formatCode="#,##0.0_);\(#,##0.0\)"/>
    <numFmt numFmtId="184" formatCode="_(&quot;$&quot;* #,##0.0_);_(&quot;$&quot;* \(#,##0.0\);_(&quot;$&quot;* &quot;-&quot;??_);_(@_)"/>
    <numFmt numFmtId="185" formatCode="0.0,,"/>
    <numFmt numFmtId="186" formatCode="_([$$-409]* #,##0_);_([$$-409]* \(#,##0\);_([$$-409]* &quot;-&quot;??_);_(@_)"/>
  </numFmts>
  <fonts count="113">
    <font>
      <sz val="10"/>
      <name val="Arial"/>
      <family val="0"/>
    </font>
    <font>
      <sz val="11"/>
      <color indexed="8"/>
      <name val="Calibri"/>
      <family val="2"/>
    </font>
    <font>
      <sz val="8"/>
      <name val="Arial"/>
      <family val="2"/>
    </font>
    <font>
      <u val="single"/>
      <sz val="10"/>
      <color indexed="12"/>
      <name val="Arial"/>
      <family val="2"/>
    </font>
    <font>
      <b/>
      <sz val="8"/>
      <name val="Arial"/>
      <family val="2"/>
    </font>
    <font>
      <b/>
      <sz val="10"/>
      <name val="Arial"/>
      <family val="2"/>
    </font>
    <font>
      <b/>
      <sz val="10"/>
      <color indexed="10"/>
      <name val="Arial"/>
      <family val="2"/>
    </font>
    <font>
      <b/>
      <sz val="10"/>
      <color indexed="9"/>
      <name val="Arial"/>
      <family val="2"/>
    </font>
    <font>
      <b/>
      <sz val="9"/>
      <color indexed="9"/>
      <name val="Arial"/>
      <family val="2"/>
    </font>
    <font>
      <sz val="11"/>
      <name val="Arial"/>
      <family val="2"/>
    </font>
    <font>
      <b/>
      <sz val="11"/>
      <name val="Arial"/>
      <family val="2"/>
    </font>
    <font>
      <b/>
      <sz val="9"/>
      <color indexed="10"/>
      <name val="Arial"/>
      <family val="2"/>
    </font>
    <font>
      <sz val="10"/>
      <color indexed="10"/>
      <name val="Arial"/>
      <family val="2"/>
    </font>
    <font>
      <sz val="10"/>
      <color indexed="50"/>
      <name val="Arial"/>
      <family val="2"/>
    </font>
    <font>
      <b/>
      <sz val="10"/>
      <color indexed="12"/>
      <name val="Arial"/>
      <family val="2"/>
    </font>
    <font>
      <b/>
      <sz val="16"/>
      <name val="Arial"/>
      <family val="2"/>
    </font>
    <font>
      <b/>
      <sz val="18"/>
      <color indexed="32"/>
      <name val="Arial"/>
      <family val="2"/>
    </font>
    <font>
      <sz val="14"/>
      <name val="Arial"/>
      <family val="2"/>
    </font>
    <font>
      <sz val="10"/>
      <color indexed="12"/>
      <name val="Arial"/>
      <family val="2"/>
    </font>
    <font>
      <b/>
      <u val="single"/>
      <sz val="10"/>
      <name val="Arial"/>
      <family val="2"/>
    </font>
    <font>
      <b/>
      <sz val="12"/>
      <name val="Arial"/>
      <family val="2"/>
    </font>
    <font>
      <sz val="10"/>
      <color indexed="23"/>
      <name val="Arial"/>
      <family val="2"/>
    </font>
    <font>
      <b/>
      <sz val="10"/>
      <color indexed="55"/>
      <name val="Arial"/>
      <family val="2"/>
    </font>
    <font>
      <b/>
      <sz val="9"/>
      <color indexed="8"/>
      <name val="Arial Bold"/>
      <family val="0"/>
    </font>
    <font>
      <sz val="9"/>
      <color indexed="8"/>
      <name val="Arial"/>
      <family val="2"/>
    </font>
    <font>
      <b/>
      <vertAlign val="superscript"/>
      <sz val="9"/>
      <color indexed="8"/>
      <name val="Arial Bold"/>
      <family val="0"/>
    </font>
    <font>
      <b/>
      <sz val="9"/>
      <color indexed="8"/>
      <name val="Arial"/>
      <family val="2"/>
    </font>
    <font>
      <sz val="16"/>
      <name val="Batang"/>
      <family val="1"/>
    </font>
    <font>
      <sz val="12"/>
      <name val="Batang"/>
      <family val="1"/>
    </font>
    <font>
      <sz val="10"/>
      <name val="Batang"/>
      <family val="1"/>
    </font>
    <font>
      <sz val="12"/>
      <name val="Arial"/>
      <family val="2"/>
    </font>
    <font>
      <sz val="9"/>
      <color indexed="30"/>
      <name val="Arial"/>
      <family val="2"/>
    </font>
    <font>
      <sz val="9"/>
      <color indexed="10"/>
      <name val="Arial"/>
      <family val="2"/>
    </font>
    <font>
      <b/>
      <sz val="10"/>
      <color indexed="8"/>
      <name val="Arial"/>
      <family val="2"/>
    </font>
    <font>
      <b/>
      <sz val="12"/>
      <color indexed="10"/>
      <name val="Arial"/>
      <family val="2"/>
    </font>
    <font>
      <sz val="10"/>
      <color indexed="55"/>
      <name val="Arial"/>
      <family val="2"/>
    </font>
    <font>
      <i/>
      <sz val="10"/>
      <color indexed="55"/>
      <name val="Arial"/>
      <family val="2"/>
    </font>
    <font>
      <sz val="8"/>
      <color indexed="10"/>
      <name val="Arial"/>
      <family val="2"/>
    </font>
    <font>
      <b/>
      <sz val="10"/>
      <color indexed="23"/>
      <name val="Arial"/>
      <family val="2"/>
    </font>
    <font>
      <sz val="8"/>
      <color indexed="17"/>
      <name val="Arial"/>
      <family val="2"/>
    </font>
    <font>
      <i/>
      <sz val="10"/>
      <color indexed="23"/>
      <name val="Arial"/>
      <family val="2"/>
    </font>
    <font>
      <sz val="10"/>
      <color indexed="9"/>
      <name val="Arial"/>
      <family val="2"/>
    </font>
    <font>
      <b/>
      <sz val="12"/>
      <color indexed="12"/>
      <name val="Arial"/>
      <family val="2"/>
    </font>
    <font>
      <sz val="10"/>
      <color indexed="42"/>
      <name val="Arial"/>
      <family val="2"/>
    </font>
    <font>
      <sz val="9"/>
      <name val="Arial"/>
      <family val="2"/>
    </font>
    <font>
      <b/>
      <sz val="9"/>
      <name val="Arial"/>
      <family val="2"/>
    </font>
    <font>
      <vertAlign val="superscript"/>
      <sz val="9"/>
      <name val="Arial"/>
      <family val="2"/>
    </font>
    <font>
      <vertAlign val="superscript"/>
      <sz val="8"/>
      <name val="Arial"/>
      <family val="2"/>
    </font>
    <font>
      <sz val="9"/>
      <color indexed="12"/>
      <name val="Arial"/>
      <family val="2"/>
    </font>
    <font>
      <sz val="10"/>
      <color indexed="8"/>
      <name val="Arial"/>
      <family val="2"/>
    </font>
    <font>
      <b/>
      <sz val="8"/>
      <name val="Tahoma"/>
      <family val="2"/>
    </font>
    <font>
      <sz val="8"/>
      <name val="Tahoma"/>
      <family val="2"/>
    </font>
    <font>
      <sz val="12"/>
      <name val="Times New Roman"/>
      <family val="1"/>
    </font>
    <font>
      <i/>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5"/>
      <color indexed="8"/>
      <name val="Arial"/>
      <family val="2"/>
    </font>
    <font>
      <sz val="1"/>
      <color indexed="8"/>
      <name val="Arial"/>
      <family val="2"/>
    </font>
    <font>
      <b/>
      <sz val="1"/>
      <color indexed="8"/>
      <name val="Arial"/>
      <family val="2"/>
    </font>
    <font>
      <b/>
      <sz val="1.5"/>
      <color indexed="8"/>
      <name val="Arial"/>
      <family val="2"/>
    </font>
    <font>
      <sz val="6"/>
      <color indexed="8"/>
      <name val="Arial"/>
      <family val="2"/>
    </font>
    <font>
      <sz val="5.8"/>
      <color indexed="8"/>
      <name val="Arial"/>
      <family val="2"/>
    </font>
    <font>
      <b/>
      <sz val="1.25"/>
      <color indexed="8"/>
      <name val="Arial"/>
      <family val="2"/>
    </font>
    <font>
      <sz val="1.25"/>
      <color indexed="8"/>
      <name val="Arial"/>
      <family val="2"/>
    </font>
    <font>
      <sz val="5.75"/>
      <color indexed="8"/>
      <name val="Arial"/>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rgb="FF0070C0"/>
      <name val="Arial"/>
      <family val="2"/>
    </font>
    <font>
      <sz val="9"/>
      <color rgb="FFFF0000"/>
      <name val="Arial"/>
      <family val="2"/>
    </font>
    <font>
      <b/>
      <sz val="9"/>
      <color rgb="FFFF0000"/>
      <name val="Arial"/>
      <family val="2"/>
    </font>
    <font>
      <b/>
      <sz val="10"/>
      <color rgb="FFFF0000"/>
      <name val="Arial"/>
      <family val="2"/>
    </font>
    <font>
      <b/>
      <sz val="10"/>
      <color theme="1"/>
      <name val="Arial"/>
      <family val="2"/>
    </font>
    <font>
      <b/>
      <sz val="12"/>
      <color rgb="FFFF0000"/>
      <name val="Arial"/>
      <family val="2"/>
    </font>
    <font>
      <sz val="10"/>
      <color theme="0" tint="-0.3499799966812134"/>
      <name val="Arial"/>
      <family val="2"/>
    </font>
    <font>
      <b/>
      <sz val="10"/>
      <color theme="0" tint="-0.3499799966812134"/>
      <name val="Arial"/>
      <family val="2"/>
    </font>
    <font>
      <i/>
      <sz val="10"/>
      <color theme="0" tint="-0.3499799966812134"/>
      <name val="Arial"/>
      <family val="2"/>
    </font>
    <font>
      <sz val="8"/>
      <color rgb="FFFF0000"/>
      <name val="Arial"/>
      <family val="2"/>
    </font>
    <font>
      <b/>
      <sz val="10"/>
      <color theme="0"/>
      <name val="Arial"/>
      <family val="2"/>
    </font>
    <font>
      <sz val="10"/>
      <color rgb="FFFF0000"/>
      <name val="Arial"/>
      <family val="2"/>
    </font>
    <font>
      <sz val="10"/>
      <color theme="0" tint="-0.4999699890613556"/>
      <name val="Arial"/>
      <family val="2"/>
    </font>
    <font>
      <b/>
      <sz val="10"/>
      <color theme="0" tint="-0.4999699890613556"/>
      <name val="Arial"/>
      <family val="2"/>
    </font>
    <font>
      <sz val="8"/>
      <color theme="6" tint="-0.4999699890613556"/>
      <name val="Arial"/>
      <family val="2"/>
    </font>
    <font>
      <i/>
      <sz val="10"/>
      <color theme="0" tint="-0.4999699890613556"/>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2"/>
        <bgColor indexed="64"/>
      </patternFill>
    </fill>
    <fill>
      <patternFill patternType="solid">
        <fgColor indexed="13"/>
        <bgColor indexed="64"/>
      </patternFill>
    </fill>
    <fill>
      <patternFill patternType="solid">
        <fgColor indexed="42"/>
        <bgColor indexed="64"/>
      </patternFill>
    </fill>
    <fill>
      <patternFill patternType="solid">
        <fgColor indexed="10"/>
        <bgColor indexed="64"/>
      </patternFill>
    </fill>
    <fill>
      <patternFill patternType="solid">
        <fgColor indexed="9"/>
        <bgColor indexed="64"/>
      </patternFill>
    </fill>
    <fill>
      <patternFill patternType="solid">
        <fgColor rgb="FFFF0000"/>
        <bgColor indexed="64"/>
      </patternFill>
    </fill>
    <fill>
      <patternFill patternType="solid">
        <fgColor theme="0"/>
        <bgColor indexed="64"/>
      </patternFill>
    </fill>
  </fills>
  <borders count="1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style="medium"/>
      <right style="medium"/>
      <top/>
      <bottom/>
    </border>
    <border>
      <left style="medium"/>
      <right style="medium"/>
      <top style="medium"/>
      <bottom style="medium"/>
    </border>
    <border>
      <left/>
      <right style="thin">
        <color indexed="9"/>
      </right>
      <top style="thin">
        <color indexed="9"/>
      </top>
      <bottom style="thin">
        <color indexed="9"/>
      </bottom>
    </border>
    <border>
      <left style="thin">
        <color indexed="9"/>
      </left>
      <right style="thin">
        <color indexed="9"/>
      </right>
      <top/>
      <bottom style="thin">
        <color indexed="9"/>
      </bottom>
    </border>
    <border>
      <left/>
      <right style="thin">
        <color indexed="9"/>
      </right>
      <top/>
      <bottom/>
    </border>
    <border>
      <left style="thin">
        <color indexed="9"/>
      </left>
      <right style="thin">
        <color indexed="9"/>
      </right>
      <top style="thin">
        <color indexed="9"/>
      </top>
      <bottom/>
    </border>
    <border>
      <left style="thin"/>
      <right style="thin"/>
      <top style="thin"/>
      <bottom style="thin"/>
    </border>
    <border>
      <left style="thin">
        <color indexed="9"/>
      </left>
      <right/>
      <top/>
      <bottom/>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style="medium"/>
      <top/>
      <bottom style="medium"/>
    </border>
    <border>
      <left/>
      <right/>
      <top style="thin"/>
      <bottom style="thin"/>
    </border>
    <border>
      <left/>
      <right style="thin"/>
      <top style="thin"/>
      <bottom style="thin"/>
    </border>
    <border>
      <left style="thin"/>
      <right/>
      <top/>
      <bottom/>
    </border>
    <border>
      <left/>
      <right style="thin"/>
      <top/>
      <bottom/>
    </border>
    <border>
      <left style="thin"/>
      <right style="thin"/>
      <top/>
      <bottom/>
    </border>
    <border>
      <left style="thin"/>
      <right style="thin"/>
      <top style="thin"/>
      <bottom style="medium"/>
    </border>
    <border>
      <left/>
      <right style="thin"/>
      <top style="thin"/>
      <bottom style="medium"/>
    </border>
    <border>
      <left style="thin"/>
      <right/>
      <top/>
      <bottom style="thin"/>
    </border>
    <border>
      <left style="thin"/>
      <right style="thin"/>
      <top style="thin"/>
      <bottom/>
    </border>
    <border>
      <left/>
      <right/>
      <top/>
      <bottom style="thin"/>
    </border>
    <border>
      <left/>
      <right/>
      <top style="thin"/>
      <bottom/>
    </border>
    <border>
      <left style="medium"/>
      <right style="thin"/>
      <top style="medium"/>
      <bottom style="medium"/>
    </border>
    <border>
      <left style="thin"/>
      <right style="medium"/>
      <top style="medium"/>
      <bottom style="mediu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thin">
        <color indexed="8"/>
      </right>
      <top style="medium">
        <color indexed="8"/>
      </top>
      <bottom/>
    </border>
    <border>
      <left style="thin">
        <color indexed="8"/>
      </left>
      <right style="medium">
        <color indexed="8"/>
      </right>
      <top style="medium">
        <color indexed="8"/>
      </top>
      <bottom/>
    </border>
    <border>
      <left style="medium">
        <color indexed="8"/>
      </left>
      <right style="medium">
        <color indexed="8"/>
      </right>
      <top/>
      <bottom style="medium">
        <color indexed="8"/>
      </bottom>
    </border>
    <border>
      <left style="medium">
        <color indexed="8"/>
      </left>
      <right style="thin">
        <color indexed="8"/>
      </right>
      <top/>
      <bottom style="medium">
        <color indexed="8"/>
      </bottom>
    </border>
    <border>
      <left style="thin">
        <color indexed="8"/>
      </left>
      <right style="medium">
        <color indexed="8"/>
      </right>
      <top/>
      <bottom style="medium">
        <color indexed="8"/>
      </bottom>
    </border>
    <border>
      <left/>
      <right style="medium">
        <color indexed="8"/>
      </right>
      <top style="medium">
        <color indexed="8"/>
      </top>
      <bottom style="medium">
        <color indexed="8"/>
      </bottom>
    </border>
    <border>
      <left style="thin">
        <color indexed="8"/>
      </left>
      <right style="thin">
        <color indexed="8"/>
      </right>
      <top style="medium">
        <color indexed="8"/>
      </top>
      <bottom style="medium">
        <color indexed="8"/>
      </bottom>
    </border>
    <border>
      <left/>
      <right style="medium">
        <color indexed="8"/>
      </right>
      <top style="medium">
        <color indexed="8"/>
      </top>
      <bottom/>
    </border>
    <border>
      <left style="thin">
        <color indexed="8"/>
      </left>
      <right style="thin">
        <color indexed="8"/>
      </right>
      <top style="medium">
        <color indexed="8"/>
      </top>
      <bottom/>
    </border>
    <border>
      <left/>
      <right style="medium">
        <color indexed="8"/>
      </right>
      <top/>
      <bottom/>
    </border>
    <border>
      <left style="medium">
        <color indexed="8"/>
      </left>
      <right style="thin">
        <color indexed="8"/>
      </right>
      <top/>
      <bottom/>
    </border>
    <border>
      <left style="thin">
        <color indexed="8"/>
      </left>
      <right style="thin">
        <color indexed="8"/>
      </right>
      <top/>
      <bottom/>
    </border>
    <border>
      <left style="thin">
        <color indexed="8"/>
      </left>
      <right style="medium">
        <color indexed="8"/>
      </right>
      <top/>
      <bottom/>
    </border>
    <border>
      <left/>
      <right style="medium">
        <color indexed="8"/>
      </right>
      <top/>
      <bottom style="medium">
        <color indexed="8"/>
      </bottom>
    </border>
    <border>
      <left style="thin">
        <color indexed="8"/>
      </left>
      <right style="thin">
        <color indexed="8"/>
      </right>
      <top/>
      <bottom style="medium">
        <color indexed="8"/>
      </bottom>
    </border>
    <border>
      <left style="thin"/>
      <right style="thin"/>
      <top style="medium"/>
      <bottom style="mediu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bottom style="medium"/>
    </border>
    <border>
      <left style="thin"/>
      <right style="thin"/>
      <top/>
      <bottom style="medium"/>
    </border>
    <border>
      <left style="thin"/>
      <right style="medium"/>
      <top/>
      <bottom style="medium"/>
    </border>
    <border>
      <left style="thin">
        <color theme="0" tint="-0.3499799966812134"/>
      </left>
      <right/>
      <top/>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right style="thin">
        <color theme="0" tint="-0.3499799966812134"/>
      </right>
      <top/>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3499799966812134"/>
      </left>
      <right/>
      <top/>
      <bottom style="thin">
        <color theme="0" tint="-0.3499799966812134"/>
      </bottom>
    </border>
    <border>
      <left/>
      <right style="thin"/>
      <top/>
      <bottom style="thin"/>
    </border>
    <border>
      <left style="thin"/>
      <right style="double"/>
      <top style="thin"/>
      <bottom style="thin"/>
    </border>
    <border>
      <left style="thin"/>
      <right style="double"/>
      <top style="double"/>
      <bottom style="thin"/>
    </border>
    <border>
      <left style="double"/>
      <right style="thin"/>
      <top style="double"/>
      <bottom style="thin"/>
    </border>
    <border>
      <left style="double"/>
      <right style="thin"/>
      <top style="thin"/>
      <bottom style="thin"/>
    </border>
    <border>
      <left style="double"/>
      <right style="thin"/>
      <top style="thin"/>
      <bottom style="double"/>
    </border>
    <border>
      <left/>
      <right style="double"/>
      <top style="thin"/>
      <bottom style="thin"/>
    </border>
    <border>
      <left style="thin"/>
      <right style="thin"/>
      <top style="double"/>
      <bottom style="thin"/>
    </border>
    <border>
      <left style="thin"/>
      <right style="double"/>
      <top style="thin"/>
      <bottom/>
    </border>
    <border>
      <left style="thin"/>
      <right style="double"/>
      <top style="thin"/>
      <bottom style="double"/>
    </border>
    <border>
      <left style="double"/>
      <right style="double"/>
      <top style="double"/>
      <bottom style="double"/>
    </border>
    <border>
      <left style="thin"/>
      <right/>
      <top style="thin"/>
      <bottom style="thin"/>
    </border>
    <border>
      <left style="medium">
        <color indexed="12"/>
      </left>
      <right/>
      <top style="medium">
        <color indexed="12"/>
      </top>
      <bottom/>
    </border>
    <border>
      <left/>
      <right/>
      <top style="medium">
        <color indexed="12"/>
      </top>
      <bottom/>
    </border>
    <border>
      <left/>
      <right style="medium">
        <color indexed="12"/>
      </right>
      <top style="medium">
        <color indexed="12"/>
      </top>
      <bottom/>
    </border>
    <border>
      <left style="medium">
        <color indexed="12"/>
      </left>
      <right/>
      <top/>
      <bottom/>
    </border>
    <border>
      <left/>
      <right style="medium">
        <color indexed="12"/>
      </right>
      <top/>
      <bottom/>
    </border>
    <border>
      <left/>
      <right/>
      <top/>
      <bottom style="thin">
        <color indexed="39"/>
      </bottom>
    </border>
    <border>
      <left/>
      <right/>
      <top style="thin">
        <color indexed="39"/>
      </top>
      <bottom/>
    </border>
    <border>
      <left/>
      <right/>
      <top/>
      <bottom style="thin">
        <color indexed="12"/>
      </bottom>
    </border>
    <border>
      <left/>
      <right/>
      <top style="thin">
        <color indexed="12"/>
      </top>
      <bottom/>
    </border>
    <border>
      <left style="medium">
        <color indexed="12"/>
      </left>
      <right/>
      <top/>
      <bottom style="medium">
        <color indexed="12"/>
      </bottom>
    </border>
    <border>
      <left/>
      <right/>
      <top/>
      <bottom style="medium">
        <color indexed="12"/>
      </bottom>
    </border>
    <border>
      <left/>
      <right style="medium">
        <color indexed="12"/>
      </right>
      <top/>
      <bottom style="medium">
        <color indexed="12"/>
      </bottom>
    </border>
    <border>
      <left/>
      <right style="thin">
        <color indexed="9"/>
      </right>
      <top style="thin">
        <color indexed="9"/>
      </top>
      <bottom/>
    </border>
    <border>
      <left/>
      <right style="thin">
        <color indexed="9"/>
      </right>
      <top/>
      <bottom style="thin">
        <color indexed="9"/>
      </bottom>
    </border>
    <border>
      <left style="thin">
        <color indexed="9"/>
      </left>
      <right/>
      <top style="thin">
        <color indexed="9"/>
      </top>
      <bottom style="thin">
        <color indexed="9"/>
      </bottom>
    </border>
    <border>
      <left/>
      <right/>
      <top style="thin">
        <color indexed="9"/>
      </top>
      <bottom style="thin">
        <color indexed="9"/>
      </bottom>
    </border>
    <border>
      <left style="thin">
        <color indexed="9"/>
      </left>
      <right/>
      <top style="thin">
        <color indexed="9"/>
      </top>
      <bottom/>
    </border>
    <border>
      <left style="thin">
        <color indexed="9"/>
      </left>
      <right/>
      <top/>
      <bottom style="thin">
        <color indexed="9"/>
      </bottom>
    </border>
    <border>
      <left style="double"/>
      <right style="double"/>
      <top style="double"/>
      <bottom/>
    </border>
    <border>
      <left style="double"/>
      <right style="double"/>
      <top/>
      <bottom/>
    </border>
    <border>
      <left style="double"/>
      <right style="double"/>
      <top/>
      <bottom style="thin"/>
    </border>
    <border>
      <left style="thin"/>
      <right style="double"/>
      <top/>
      <bottom/>
    </border>
    <border>
      <left style="thin"/>
      <right style="double"/>
      <top/>
      <bottom style="thin"/>
    </border>
    <border>
      <left style="double"/>
      <right style="thin"/>
      <top style="double"/>
      <bottom/>
    </border>
    <border>
      <left style="double"/>
      <right style="thin"/>
      <top/>
      <bottom/>
    </border>
    <border>
      <left style="double"/>
      <right style="thin"/>
      <top/>
      <bottom style="thin"/>
    </border>
    <border>
      <left style="medium"/>
      <right/>
      <top style="medium"/>
      <bottom style="medium"/>
    </border>
    <border>
      <left/>
      <right/>
      <top style="medium"/>
      <bottom style="medium"/>
    </border>
    <border>
      <left/>
      <right style="medium"/>
      <top style="medium"/>
      <bottom style="mediu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0" applyNumberFormat="0" applyBorder="0" applyAlignment="0" applyProtection="0"/>
    <xf numFmtId="0" fontId="83" fillId="27" borderId="1" applyNumberFormat="0" applyAlignment="0" applyProtection="0"/>
    <xf numFmtId="0" fontId="84" fillId="28" borderId="2" applyNumberFormat="0" applyAlignment="0" applyProtection="0"/>
    <xf numFmtId="165"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44" fontId="80" fillId="0" borderId="0" applyFont="0" applyFill="0" applyBorder="0" applyAlignment="0" applyProtection="0"/>
    <xf numFmtId="44" fontId="0" fillId="0" borderId="0" applyFont="0" applyFill="0" applyBorder="0" applyAlignment="0" applyProtection="0"/>
    <xf numFmtId="0" fontId="85" fillId="0" borderId="0" applyNumberFormat="0" applyFill="0" applyBorder="0" applyAlignment="0" applyProtection="0"/>
    <xf numFmtId="0" fontId="86" fillId="29"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3" fillId="0" borderId="0" applyNumberFormat="0" applyFill="0" applyBorder="0" applyAlignment="0" applyProtection="0"/>
    <xf numFmtId="0" fontId="90" fillId="30" borderId="1" applyNumberFormat="0" applyAlignment="0" applyProtection="0"/>
    <xf numFmtId="0" fontId="91" fillId="0" borderId="6"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92" fillId="31" borderId="0" applyNumberFormat="0" applyBorder="0" applyAlignment="0" applyProtection="0"/>
    <xf numFmtId="0" fontId="0" fillId="0" borderId="0">
      <alignment/>
      <protection/>
    </xf>
    <xf numFmtId="0" fontId="0" fillId="0" borderId="0" applyFont="0" applyFill="0" applyBorder="0" applyAlignment="0" applyProtection="0"/>
    <xf numFmtId="0" fontId="0" fillId="0" borderId="0" applyFont="0" applyFill="0" applyBorder="0" applyAlignment="0" applyProtection="0"/>
    <xf numFmtId="0" fontId="80" fillId="0" borderId="0">
      <alignment/>
      <protection/>
    </xf>
    <xf numFmtId="0" fontId="49" fillId="0" borderId="0">
      <alignment/>
      <protection/>
    </xf>
    <xf numFmtId="0" fontId="49" fillId="0" borderId="0">
      <alignment vertical="top"/>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93"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4" fillId="0" borderId="0" applyNumberFormat="0" applyFill="0" applyBorder="0" applyAlignment="0" applyProtection="0"/>
    <xf numFmtId="0" fontId="95" fillId="0" borderId="9" applyNumberFormat="0" applyFill="0" applyAlignment="0" applyProtection="0"/>
    <xf numFmtId="0" fontId="96" fillId="0" borderId="0" applyNumberFormat="0" applyFill="0" applyBorder="0" applyAlignment="0" applyProtection="0"/>
  </cellStyleXfs>
  <cellXfs count="565">
    <xf numFmtId="0" fontId="0" fillId="0" borderId="0" xfId="0" applyAlignment="1">
      <alignment/>
    </xf>
    <xf numFmtId="0" fontId="4"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Alignment="1">
      <alignment/>
    </xf>
    <xf numFmtId="3" fontId="0" fillId="0" borderId="0" xfId="0" applyNumberFormat="1" applyAlignment="1">
      <alignment/>
    </xf>
    <xf numFmtId="172" fontId="0" fillId="0" borderId="0" xfId="76" applyNumberFormat="1" applyAlignment="1">
      <alignment/>
    </xf>
    <xf numFmtId="0" fontId="5" fillId="33" borderId="0" xfId="0" applyFont="1" applyFill="1" applyAlignment="1">
      <alignment/>
    </xf>
    <xf numFmtId="0" fontId="0" fillId="0" borderId="0" xfId="0" applyAlignment="1">
      <alignment horizontal="center"/>
    </xf>
    <xf numFmtId="166" fontId="0" fillId="0" borderId="0" xfId="0" applyNumberFormat="1" applyAlignment="1">
      <alignment horizontal="center"/>
    </xf>
    <xf numFmtId="0" fontId="0" fillId="33" borderId="10" xfId="0" applyFill="1" applyBorder="1" applyAlignment="1">
      <alignment/>
    </xf>
    <xf numFmtId="177" fontId="5" fillId="0" borderId="0" xfId="0" applyNumberFormat="1" applyFont="1" applyAlignment="1">
      <alignment/>
    </xf>
    <xf numFmtId="177" fontId="5" fillId="33" borderId="11" xfId="0" applyNumberFormat="1" applyFont="1" applyFill="1" applyBorder="1" applyAlignment="1">
      <alignment/>
    </xf>
    <xf numFmtId="168" fontId="0" fillId="0" borderId="0" xfId="0" applyNumberFormat="1" applyAlignment="1">
      <alignment horizontal="center"/>
    </xf>
    <xf numFmtId="177" fontId="0" fillId="0" borderId="0" xfId="46" applyNumberFormat="1" applyAlignment="1">
      <alignment/>
    </xf>
    <xf numFmtId="174" fontId="0" fillId="33" borderId="11" xfId="0" applyNumberFormat="1" applyFill="1" applyBorder="1" applyAlignment="1">
      <alignment/>
    </xf>
    <xf numFmtId="177" fontId="0" fillId="0" borderId="0" xfId="0" applyNumberFormat="1" applyAlignment="1">
      <alignment/>
    </xf>
    <xf numFmtId="177" fontId="5" fillId="0" borderId="0" xfId="46" applyNumberFormat="1" applyFont="1" applyAlignment="1">
      <alignment/>
    </xf>
    <xf numFmtId="177" fontId="5" fillId="33" borderId="11" xfId="46" applyNumberFormat="1" applyFont="1" applyFill="1" applyBorder="1" applyAlignment="1">
      <alignment/>
    </xf>
    <xf numFmtId="177" fontId="5" fillId="33" borderId="12" xfId="46" applyNumberFormat="1" applyFont="1" applyFill="1" applyBorder="1" applyAlignment="1">
      <alignment/>
    </xf>
    <xf numFmtId="175" fontId="0" fillId="0" borderId="0" xfId="0" applyNumberFormat="1" applyAlignment="1">
      <alignment horizontal="center"/>
    </xf>
    <xf numFmtId="2" fontId="0" fillId="0" borderId="0" xfId="0" applyNumberFormat="1" applyAlignment="1">
      <alignment/>
    </xf>
    <xf numFmtId="175" fontId="0" fillId="0" borderId="0" xfId="0" applyNumberFormat="1" applyAlignment="1">
      <alignment/>
    </xf>
    <xf numFmtId="166" fontId="0" fillId="0" borderId="0" xfId="0" applyNumberFormat="1" applyAlignment="1">
      <alignment/>
    </xf>
    <xf numFmtId="174" fontId="0" fillId="0" borderId="0" xfId="0" applyNumberFormat="1" applyAlignment="1">
      <alignment/>
    </xf>
    <xf numFmtId="173" fontId="0" fillId="0" borderId="0" xfId="0" applyNumberFormat="1" applyAlignment="1">
      <alignment/>
    </xf>
    <xf numFmtId="37" fontId="0" fillId="0" borderId="0" xfId="0" applyNumberFormat="1" applyAlignment="1">
      <alignment/>
    </xf>
    <xf numFmtId="0" fontId="5" fillId="0" borderId="0" xfId="0" applyFont="1" applyAlignment="1">
      <alignment horizontal="center"/>
    </xf>
    <xf numFmtId="0" fontId="5" fillId="0" borderId="0" xfId="0" applyFont="1" applyAlignment="1">
      <alignment/>
    </xf>
    <xf numFmtId="0" fontId="7" fillId="34" borderId="13" xfId="0" applyFont="1" applyFill="1" applyBorder="1" applyAlignment="1">
      <alignment vertical="center" wrapText="1"/>
    </xf>
    <xf numFmtId="0" fontId="7" fillId="34" borderId="14" xfId="0" applyFont="1" applyFill="1" applyBorder="1" applyAlignment="1">
      <alignment horizontal="center" vertical="center" wrapText="1"/>
    </xf>
    <xf numFmtId="0" fontId="7" fillId="34" borderId="15"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0" fillId="0" borderId="17" xfId="0" applyBorder="1" applyAlignment="1">
      <alignment horizontal="center"/>
    </xf>
    <xf numFmtId="0" fontId="0" fillId="0" borderId="17" xfId="0" applyBorder="1" applyAlignment="1">
      <alignment/>
    </xf>
    <xf numFmtId="37" fontId="9" fillId="0" borderId="17" xfId="0" applyNumberFormat="1" applyFont="1" applyBorder="1" applyAlignment="1" applyProtection="1">
      <alignment/>
      <protection/>
    </xf>
    <xf numFmtId="37" fontId="9" fillId="0" borderId="17" xfId="0" applyNumberFormat="1" applyFont="1" applyFill="1" applyBorder="1" applyAlignment="1" applyProtection="1">
      <alignment/>
      <protection/>
    </xf>
    <xf numFmtId="37" fontId="10" fillId="0" borderId="17" xfId="0" applyNumberFormat="1" applyFont="1" applyBorder="1" applyAlignment="1" applyProtection="1">
      <alignment/>
      <protection/>
    </xf>
    <xf numFmtId="0" fontId="0" fillId="0" borderId="18" xfId="0" applyBorder="1" applyAlignment="1">
      <alignment/>
    </xf>
    <xf numFmtId="0" fontId="0" fillId="0" borderId="15" xfId="0" applyBorder="1" applyAlignment="1">
      <alignment/>
    </xf>
    <xf numFmtId="37" fontId="9" fillId="0" borderId="0" xfId="0" applyNumberFormat="1" applyFont="1" applyBorder="1" applyAlignment="1" applyProtection="1">
      <alignment/>
      <protection/>
    </xf>
    <xf numFmtId="37" fontId="5" fillId="0" borderId="0" xfId="0" applyNumberFormat="1" applyFont="1" applyAlignment="1">
      <alignment/>
    </xf>
    <xf numFmtId="173" fontId="5" fillId="0" borderId="0" xfId="0" applyNumberFormat="1" applyFont="1" applyAlignment="1">
      <alignment/>
    </xf>
    <xf numFmtId="37" fontId="9" fillId="0" borderId="0" xfId="0" applyNumberFormat="1" applyFont="1" applyFill="1" applyBorder="1" applyAlignment="1" applyProtection="1">
      <alignment/>
      <protection/>
    </xf>
    <xf numFmtId="37" fontId="9" fillId="0" borderId="0" xfId="0" applyNumberFormat="1" applyFont="1" applyAlignment="1">
      <alignment/>
    </xf>
    <xf numFmtId="37" fontId="10" fillId="0" borderId="17" xfId="0" applyNumberFormat="1" applyFont="1" applyFill="1" applyBorder="1" applyAlignment="1" applyProtection="1">
      <alignment/>
      <protection/>
    </xf>
    <xf numFmtId="0" fontId="0" fillId="0" borderId="0" xfId="0" applyAlignment="1">
      <alignment horizontal="right"/>
    </xf>
    <xf numFmtId="37" fontId="9" fillId="0" borderId="0" xfId="0" applyNumberFormat="1" applyFont="1" applyAlignment="1" applyProtection="1">
      <alignment/>
      <protection/>
    </xf>
    <xf numFmtId="37" fontId="9" fillId="0" borderId="0" xfId="0" applyNumberFormat="1" applyFont="1" applyFill="1" applyAlignment="1" applyProtection="1">
      <alignment/>
      <protection/>
    </xf>
    <xf numFmtId="37" fontId="10" fillId="0" borderId="0" xfId="0" applyNumberFormat="1" applyFont="1" applyFill="1" applyAlignment="1" applyProtection="1">
      <alignment/>
      <protection/>
    </xf>
    <xf numFmtId="0" fontId="0" fillId="0" borderId="19" xfId="0" applyBorder="1" applyAlignment="1">
      <alignment horizontal="center"/>
    </xf>
    <xf numFmtId="0" fontId="0" fillId="0" borderId="19" xfId="0" applyBorder="1" applyAlignment="1">
      <alignment/>
    </xf>
    <xf numFmtId="0" fontId="0" fillId="0" borderId="0" xfId="0" applyBorder="1" applyAlignment="1">
      <alignment/>
    </xf>
    <xf numFmtId="0" fontId="11" fillId="34" borderId="16" xfId="0" applyFont="1" applyFill="1" applyBorder="1" applyAlignment="1">
      <alignment horizontal="center" vertical="center" wrapText="1"/>
    </xf>
    <xf numFmtId="172" fontId="6" fillId="0" borderId="0" xfId="76" applyNumberFormat="1" applyFont="1" applyAlignment="1">
      <alignment/>
    </xf>
    <xf numFmtId="0" fontId="12" fillId="0" borderId="0" xfId="0" applyFont="1" applyAlignment="1">
      <alignment/>
    </xf>
    <xf numFmtId="0" fontId="0" fillId="0" borderId="10" xfId="0" applyBorder="1" applyAlignment="1">
      <alignment horizontal="center"/>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10" xfId="0" applyBorder="1" applyAlignment="1">
      <alignment/>
    </xf>
    <xf numFmtId="0" fontId="0" fillId="0" borderId="11" xfId="0" applyBorder="1" applyAlignment="1">
      <alignment horizontal="center"/>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26" xfId="0" applyBorder="1" applyAlignment="1">
      <alignment/>
    </xf>
    <xf numFmtId="0" fontId="12" fillId="0" borderId="11" xfId="0" applyFont="1" applyBorder="1" applyAlignment="1">
      <alignment/>
    </xf>
    <xf numFmtId="3" fontId="0" fillId="0" borderId="11" xfId="0" applyNumberFormat="1" applyBorder="1" applyAlignment="1">
      <alignment/>
    </xf>
    <xf numFmtId="2" fontId="0" fillId="0" borderId="11" xfId="0" applyNumberFormat="1" applyBorder="1" applyAlignment="1">
      <alignment/>
    </xf>
    <xf numFmtId="174" fontId="5" fillId="33" borderId="0" xfId="0" applyNumberFormat="1" applyFont="1" applyFill="1" applyAlignment="1">
      <alignment horizontal="center"/>
    </xf>
    <xf numFmtId="0" fontId="0" fillId="0" borderId="11" xfId="0" applyBorder="1" applyAlignment="1">
      <alignment/>
    </xf>
    <xf numFmtId="0" fontId="13" fillId="0" borderId="11" xfId="0" applyFont="1" applyBorder="1" applyAlignment="1">
      <alignment/>
    </xf>
    <xf numFmtId="0" fontId="0" fillId="0" borderId="0" xfId="0" applyAlignment="1">
      <alignment/>
    </xf>
    <xf numFmtId="4" fontId="0" fillId="0" borderId="0" xfId="0" applyNumberFormat="1" applyAlignment="1">
      <alignment/>
    </xf>
    <xf numFmtId="0" fontId="5" fillId="33" borderId="11" xfId="0" applyFont="1" applyFill="1" applyBorder="1" applyAlignment="1">
      <alignment/>
    </xf>
    <xf numFmtId="3" fontId="5" fillId="33" borderId="11" xfId="0" applyNumberFormat="1" applyFont="1" applyFill="1" applyBorder="1" applyAlignment="1">
      <alignment/>
    </xf>
    <xf numFmtId="0" fontId="5" fillId="33" borderId="11" xfId="0" applyFont="1" applyFill="1" applyBorder="1" applyAlignment="1">
      <alignment horizontal="center"/>
    </xf>
    <xf numFmtId="2" fontId="5" fillId="33" borderId="11" xfId="0" applyNumberFormat="1" applyFont="1" applyFill="1" applyBorder="1" applyAlignment="1">
      <alignment/>
    </xf>
    <xf numFmtId="173" fontId="12" fillId="0" borderId="0" xfId="0" applyNumberFormat="1" applyFont="1" applyAlignment="1">
      <alignment/>
    </xf>
    <xf numFmtId="0" fontId="5" fillId="35" borderId="11" xfId="0" applyFont="1" applyFill="1" applyBorder="1" applyAlignment="1">
      <alignment/>
    </xf>
    <xf numFmtId="3" fontId="5" fillId="35" borderId="11" xfId="0" applyNumberFormat="1" applyFont="1" applyFill="1" applyBorder="1" applyAlignment="1">
      <alignment/>
    </xf>
    <xf numFmtId="0" fontId="5" fillId="35" borderId="11" xfId="0" applyFont="1" applyFill="1" applyBorder="1" applyAlignment="1">
      <alignment horizontal="center"/>
    </xf>
    <xf numFmtId="2" fontId="5" fillId="35" borderId="11" xfId="0" applyNumberFormat="1" applyFont="1" applyFill="1" applyBorder="1" applyAlignment="1">
      <alignment/>
    </xf>
    <xf numFmtId="173" fontId="12" fillId="0" borderId="0" xfId="0" applyNumberFormat="1" applyFont="1" applyAlignment="1">
      <alignment/>
    </xf>
    <xf numFmtId="0" fontId="5" fillId="0" borderId="0" xfId="0" applyFont="1" applyAlignment="1">
      <alignment horizontal="right"/>
    </xf>
    <xf numFmtId="0" fontId="0" fillId="0" borderId="0" xfId="0" applyFont="1" applyFill="1" applyAlignment="1">
      <alignment vertical="center"/>
    </xf>
    <xf numFmtId="0" fontId="5" fillId="0" borderId="0" xfId="0" applyFont="1" applyFill="1" applyAlignment="1">
      <alignment horizontal="center" vertical="center"/>
    </xf>
    <xf numFmtId="0" fontId="0" fillId="0" borderId="0" xfId="0" applyFont="1" applyFill="1" applyAlignment="1">
      <alignment horizontal="center" vertical="center"/>
    </xf>
    <xf numFmtId="0" fontId="15" fillId="0" borderId="0" xfId="0" applyFont="1" applyAlignment="1">
      <alignment/>
    </xf>
    <xf numFmtId="0" fontId="16" fillId="0" borderId="0" xfId="0" applyFont="1" applyAlignment="1">
      <alignment/>
    </xf>
    <xf numFmtId="0" fontId="0" fillId="0" borderId="0" xfId="0" applyFont="1" applyAlignment="1">
      <alignment/>
    </xf>
    <xf numFmtId="0" fontId="17" fillId="0" borderId="0" xfId="0" applyFont="1" applyAlignment="1">
      <alignment/>
    </xf>
    <xf numFmtId="10" fontId="0" fillId="0" borderId="0" xfId="0" applyNumberFormat="1" applyFont="1" applyAlignment="1">
      <alignment/>
    </xf>
    <xf numFmtId="0" fontId="2" fillId="0" borderId="0" xfId="0" applyFont="1" applyFill="1" applyAlignment="1">
      <alignment horizontal="center" vertical="center"/>
    </xf>
    <xf numFmtId="0" fontId="2" fillId="0" borderId="0" xfId="0" applyFont="1" applyFill="1" applyAlignment="1">
      <alignment vertical="center"/>
    </xf>
    <xf numFmtId="0" fontId="17" fillId="0" borderId="0" xfId="0" applyFont="1" applyFill="1" applyAlignment="1">
      <alignment vertical="center"/>
    </xf>
    <xf numFmtId="3" fontId="2" fillId="0" borderId="0" xfId="0" applyNumberFormat="1" applyFont="1" applyFill="1" applyAlignment="1">
      <alignment horizontal="center" vertical="center"/>
    </xf>
    <xf numFmtId="3" fontId="2" fillId="0" borderId="0" xfId="0" applyNumberFormat="1" applyFont="1" applyFill="1" applyAlignment="1">
      <alignment vertical="center"/>
    </xf>
    <xf numFmtId="0" fontId="15" fillId="0" borderId="0" xfId="0" applyFont="1" applyFill="1" applyAlignment="1">
      <alignment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0" xfId="0" applyFont="1" applyFill="1" applyBorder="1" applyAlignment="1">
      <alignment horizontal="center" vertical="center"/>
    </xf>
    <xf numFmtId="0" fontId="0" fillId="0" borderId="29" xfId="0" applyFont="1" applyFill="1" applyBorder="1" applyAlignment="1">
      <alignment vertical="center"/>
    </xf>
    <xf numFmtId="0" fontId="0" fillId="0" borderId="0" xfId="0" applyFont="1" applyFill="1" applyBorder="1" applyAlignment="1">
      <alignment vertical="center"/>
    </xf>
    <xf numFmtId="167" fontId="0" fillId="0" borderId="0" xfId="0" applyNumberFormat="1" applyFont="1" applyFill="1" applyAlignment="1">
      <alignment horizontal="center" vertical="center"/>
    </xf>
    <xf numFmtId="166" fontId="0" fillId="0" borderId="0" xfId="0" applyNumberFormat="1" applyFont="1" applyFill="1" applyAlignment="1">
      <alignment horizontal="center" vertical="center"/>
    </xf>
    <xf numFmtId="172" fontId="0" fillId="0" borderId="0" xfId="0" applyNumberFormat="1" applyFont="1" applyFill="1" applyAlignment="1">
      <alignment horizontal="center" vertical="center"/>
    </xf>
    <xf numFmtId="9" fontId="0" fillId="0" borderId="0" xfId="0" applyNumberFormat="1" applyFont="1" applyFill="1" applyAlignment="1">
      <alignment horizontal="center" vertical="center"/>
    </xf>
    <xf numFmtId="9" fontId="5" fillId="0" borderId="0" xfId="0" applyNumberFormat="1" applyFont="1" applyFill="1" applyBorder="1" applyAlignment="1">
      <alignment horizontal="center" vertical="center"/>
    </xf>
    <xf numFmtId="0" fontId="0" fillId="0" borderId="30" xfId="0" applyFont="1" applyBorder="1" applyAlignment="1">
      <alignment horizontal="center" vertical="center" wrapText="1"/>
    </xf>
    <xf numFmtId="9" fontId="0" fillId="0" borderId="0" xfId="0" applyNumberFormat="1" applyFont="1" applyAlignment="1">
      <alignment/>
    </xf>
    <xf numFmtId="9" fontId="0" fillId="0" borderId="31" xfId="0" applyNumberFormat="1" applyFont="1" applyBorder="1" applyAlignment="1">
      <alignment horizontal="center" vertical="center" wrapText="1"/>
    </xf>
    <xf numFmtId="0" fontId="0" fillId="0" borderId="19" xfId="0" applyFont="1" applyFill="1" applyBorder="1" applyAlignment="1">
      <alignment vertical="center"/>
    </xf>
    <xf numFmtId="0" fontId="0" fillId="0" borderId="29" xfId="0" applyFont="1" applyBorder="1" applyAlignment="1">
      <alignment vertical="center"/>
    </xf>
    <xf numFmtId="0" fontId="0" fillId="0" borderId="31" xfId="0" applyBorder="1" applyAlignment="1">
      <alignment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vertical="center"/>
    </xf>
    <xf numFmtId="0" fontId="0" fillId="0" borderId="0" xfId="0" applyFont="1" applyBorder="1" applyAlignment="1">
      <alignment horizontal="center" vertical="center"/>
    </xf>
    <xf numFmtId="0" fontId="0" fillId="0" borderId="27" xfId="0" applyFont="1" applyBorder="1" applyAlignment="1">
      <alignment vertical="center"/>
    </xf>
    <xf numFmtId="0" fontId="5" fillId="0" borderId="27" xfId="0" applyFont="1" applyBorder="1" applyAlignment="1">
      <alignment horizontal="left" vertical="center"/>
    </xf>
    <xf numFmtId="0" fontId="0" fillId="0" borderId="0" xfId="0" applyFont="1" applyFill="1" applyAlignment="1">
      <alignment/>
    </xf>
    <xf numFmtId="0" fontId="5" fillId="0" borderId="0" xfId="0" applyFont="1" applyFill="1" applyAlignment="1">
      <alignment horizontal="right"/>
    </xf>
    <xf numFmtId="10" fontId="0" fillId="0" borderId="0" xfId="0" applyNumberFormat="1" applyFont="1" applyFill="1" applyAlignment="1">
      <alignment/>
    </xf>
    <xf numFmtId="0" fontId="21" fillId="0" borderId="35" xfId="0" applyFont="1" applyBorder="1" applyAlignment="1">
      <alignment horizontal="center" vertical="center" wrapText="1"/>
    </xf>
    <xf numFmtId="0" fontId="0" fillId="0" borderId="36" xfId="0" applyFont="1" applyBorder="1" applyAlignment="1">
      <alignment horizontal="center" vertical="center"/>
    </xf>
    <xf numFmtId="0" fontId="0" fillId="0" borderId="0" xfId="0" applyFont="1" applyFill="1" applyAlignment="1">
      <alignment horizontal="left" vertical="center"/>
    </xf>
    <xf numFmtId="0" fontId="5" fillId="0" borderId="0" xfId="0" applyFont="1" applyFill="1" applyAlignment="1">
      <alignment horizontal="left" vertical="center"/>
    </xf>
    <xf numFmtId="9" fontId="14" fillId="0" borderId="0" xfId="0" applyNumberFormat="1" applyFont="1" applyFill="1" applyAlignment="1">
      <alignment horizontal="center" vertical="center"/>
    </xf>
    <xf numFmtId="9" fontId="14" fillId="33" borderId="0" xfId="0" applyNumberFormat="1" applyFont="1" applyFill="1" applyBorder="1" applyAlignment="1">
      <alignment horizontal="center" vertical="center"/>
    </xf>
    <xf numFmtId="9" fontId="0" fillId="36" borderId="31" xfId="0" applyNumberFormat="1" applyFont="1" applyFill="1" applyBorder="1" applyAlignment="1">
      <alignment horizontal="center" vertical="center" wrapText="1"/>
    </xf>
    <xf numFmtId="0" fontId="14" fillId="0" borderId="24" xfId="0" applyFont="1" applyBorder="1" applyAlignment="1">
      <alignment horizontal="center" vertical="center"/>
    </xf>
    <xf numFmtId="0" fontId="0" fillId="0" borderId="27" xfId="0"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15" fillId="0" borderId="0" xfId="0" applyFont="1" applyBorder="1" applyAlignment="1">
      <alignment/>
    </xf>
    <xf numFmtId="0" fontId="17" fillId="0" borderId="0" xfId="0" applyFont="1" applyBorder="1" applyAlignment="1">
      <alignment/>
    </xf>
    <xf numFmtId="0" fontId="0" fillId="0" borderId="0" xfId="0" applyBorder="1" applyAlignment="1">
      <alignment vertical="top"/>
    </xf>
    <xf numFmtId="0" fontId="0" fillId="0" borderId="0" xfId="0" applyFont="1" applyBorder="1" applyAlignment="1">
      <alignment vertical="top" wrapText="1"/>
    </xf>
    <xf numFmtId="0" fontId="5" fillId="0" borderId="0" xfId="0" applyFont="1" applyBorder="1" applyAlignment="1">
      <alignment/>
    </xf>
    <xf numFmtId="0" fontId="5" fillId="0" borderId="0" xfId="0" applyFont="1" applyBorder="1" applyAlignment="1">
      <alignment vertical="top" wrapText="1"/>
    </xf>
    <xf numFmtId="0" fontId="5" fillId="0" borderId="0" xfId="0" applyNumberFormat="1" applyFont="1" applyBorder="1" applyAlignment="1">
      <alignment wrapText="1"/>
    </xf>
    <xf numFmtId="0" fontId="5" fillId="0" borderId="17" xfId="0" applyFont="1" applyBorder="1" applyAlignment="1">
      <alignment vertical="center"/>
    </xf>
    <xf numFmtId="172" fontId="7" fillId="37" borderId="17" xfId="0" applyNumberFormat="1" applyFont="1" applyFill="1" applyBorder="1" applyAlignment="1">
      <alignment horizontal="center"/>
    </xf>
    <xf numFmtId="0" fontId="5" fillId="0" borderId="0" xfId="0" applyFont="1" applyAlignment="1">
      <alignment vertical="center" wrapText="1"/>
    </xf>
    <xf numFmtId="0" fontId="0" fillId="0" borderId="0" xfId="63">
      <alignment/>
      <protection/>
    </xf>
    <xf numFmtId="0" fontId="0" fillId="7" borderId="0" xfId="63" applyFill="1">
      <alignment/>
      <protection/>
    </xf>
    <xf numFmtId="0" fontId="5" fillId="7" borderId="35" xfId="63" applyFont="1" applyFill="1" applyBorder="1" applyAlignment="1">
      <alignment horizontal="center" wrapText="1"/>
      <protection/>
    </xf>
    <xf numFmtId="0" fontId="5" fillId="7" borderId="38" xfId="63" applyFont="1" applyFill="1" applyBorder="1">
      <alignment/>
      <protection/>
    </xf>
    <xf numFmtId="44" fontId="5" fillId="7" borderId="39" xfId="61" applyNumberFormat="1" applyFont="1" applyFill="1" applyBorder="1" applyAlignment="1">
      <alignment horizontal="right"/>
    </xf>
    <xf numFmtId="0" fontId="23" fillId="38" borderId="0" xfId="72" applyFont="1" applyFill="1" applyBorder="1" applyAlignment="1">
      <alignment horizontal="center" vertical="center"/>
      <protection/>
    </xf>
    <xf numFmtId="0" fontId="0" fillId="7" borderId="19" xfId="63" applyFill="1" applyBorder="1">
      <alignment/>
      <protection/>
    </xf>
    <xf numFmtId="44" fontId="0" fillId="7" borderId="19" xfId="63" applyNumberFormat="1" applyFill="1" applyBorder="1" applyAlignment="1">
      <alignment horizontal="right"/>
      <protection/>
    </xf>
    <xf numFmtId="0" fontId="23" fillId="38" borderId="40" xfId="72" applyFont="1" applyFill="1" applyBorder="1" applyAlignment="1">
      <alignment horizontal="center" vertical="center"/>
      <protection/>
    </xf>
    <xf numFmtId="0" fontId="24" fillId="38" borderId="41" xfId="72" applyFont="1" applyFill="1" applyBorder="1" applyAlignment="1">
      <alignment horizontal="center" wrapText="1"/>
      <protection/>
    </xf>
    <xf numFmtId="0" fontId="24" fillId="38" borderId="42" xfId="72" applyFont="1" applyFill="1" applyBorder="1" applyAlignment="1">
      <alignment horizontal="center" wrapText="1"/>
      <protection/>
    </xf>
    <xf numFmtId="0" fontId="0" fillId="7" borderId="17" xfId="63" applyFill="1" applyBorder="1">
      <alignment/>
      <protection/>
    </xf>
    <xf numFmtId="44" fontId="0" fillId="7" borderId="17" xfId="63" applyNumberFormat="1" applyFill="1" applyBorder="1" applyAlignment="1">
      <alignment horizontal="right"/>
      <protection/>
    </xf>
    <xf numFmtId="0" fontId="24" fillId="38" borderId="43" xfId="72" applyFont="1" applyFill="1" applyBorder="1" applyAlignment="1">
      <alignment horizontal="left" vertical="top" wrapText="1"/>
      <protection/>
    </xf>
    <xf numFmtId="180" fontId="24" fillId="38" borderId="44" xfId="72" applyNumberFormat="1" applyFont="1" applyFill="1" applyBorder="1" applyAlignment="1">
      <alignment horizontal="right" vertical="center"/>
      <protection/>
    </xf>
    <xf numFmtId="179" fontId="97" fillId="38" borderId="45" xfId="61" applyNumberFormat="1" applyFont="1" applyFill="1" applyBorder="1" applyAlignment="1">
      <alignment horizontal="right" vertical="center"/>
    </xf>
    <xf numFmtId="0" fontId="0" fillId="7" borderId="0" xfId="63" applyFont="1" applyFill="1">
      <alignment/>
      <protection/>
    </xf>
    <xf numFmtId="0" fontId="24" fillId="38" borderId="46" xfId="72" applyFont="1" applyFill="1" applyBorder="1" applyAlignment="1">
      <alignment horizontal="left" vertical="top" wrapText="1"/>
      <protection/>
    </xf>
    <xf numFmtId="180" fontId="24" fillId="38" borderId="47" xfId="72" applyNumberFormat="1" applyFont="1" applyFill="1" applyBorder="1" applyAlignment="1">
      <alignment horizontal="right" vertical="center"/>
      <protection/>
    </xf>
    <xf numFmtId="0" fontId="23" fillId="38" borderId="48" xfId="72" applyFont="1" applyFill="1" applyBorder="1" applyAlignment="1">
      <alignment horizontal="center" vertical="center"/>
      <protection/>
    </xf>
    <xf numFmtId="0" fontId="0" fillId="0" borderId="0" xfId="63" applyAlignment="1">
      <alignment/>
      <protection/>
    </xf>
    <xf numFmtId="0" fontId="0" fillId="0" borderId="0" xfId="72">
      <alignment/>
      <protection/>
    </xf>
    <xf numFmtId="0" fontId="25" fillId="38" borderId="40" xfId="72" applyFont="1" applyFill="1" applyBorder="1" applyAlignment="1">
      <alignment horizontal="center" vertical="center"/>
      <protection/>
    </xf>
    <xf numFmtId="179" fontId="98" fillId="38" borderId="45" xfId="61" applyNumberFormat="1" applyFont="1" applyFill="1" applyBorder="1" applyAlignment="1">
      <alignment horizontal="right" vertical="center"/>
    </xf>
    <xf numFmtId="43" fontId="23" fillId="38" borderId="0" xfId="59" applyFont="1" applyFill="1" applyBorder="1" applyAlignment="1">
      <alignment horizontal="center" vertical="center"/>
    </xf>
    <xf numFmtId="0" fontId="25" fillId="38" borderId="48" xfId="72" applyFont="1" applyFill="1" applyBorder="1" applyAlignment="1">
      <alignment horizontal="center" vertical="center"/>
      <protection/>
    </xf>
    <xf numFmtId="0" fontId="23" fillId="38" borderId="49" xfId="72" applyFont="1" applyFill="1" applyBorder="1" applyAlignment="1">
      <alignment horizontal="center" vertical="center"/>
      <protection/>
    </xf>
    <xf numFmtId="0" fontId="24" fillId="38" borderId="50" xfId="72" applyFont="1" applyFill="1" applyBorder="1" applyAlignment="1">
      <alignment horizontal="center" wrapText="1"/>
      <protection/>
    </xf>
    <xf numFmtId="0" fontId="24" fillId="38" borderId="51" xfId="72" applyFont="1" applyFill="1" applyBorder="1" applyAlignment="1">
      <alignment horizontal="left" vertical="top" wrapText="1"/>
      <protection/>
    </xf>
    <xf numFmtId="178" fontId="97" fillId="38" borderId="44" xfId="59" applyNumberFormat="1" applyFont="1" applyFill="1" applyBorder="1" applyAlignment="1">
      <alignment horizontal="right" vertical="center"/>
    </xf>
    <xf numFmtId="181" fontId="24" fillId="38" borderId="52" xfId="72" applyNumberFormat="1" applyFont="1" applyFill="1" applyBorder="1" applyAlignment="1">
      <alignment horizontal="right" vertical="center"/>
      <protection/>
    </xf>
    <xf numFmtId="181" fontId="24" fillId="38" borderId="45" xfId="72" applyNumberFormat="1" applyFont="1" applyFill="1" applyBorder="1" applyAlignment="1">
      <alignment horizontal="right" vertical="center"/>
      <protection/>
    </xf>
    <xf numFmtId="0" fontId="24" fillId="38" borderId="53" xfId="72" applyFont="1" applyFill="1" applyBorder="1" applyAlignment="1">
      <alignment horizontal="left" vertical="top" wrapText="1"/>
      <protection/>
    </xf>
    <xf numFmtId="178" fontId="97" fillId="38" borderId="54" xfId="59" applyNumberFormat="1" applyFont="1" applyFill="1" applyBorder="1" applyAlignment="1">
      <alignment horizontal="right" vertical="center"/>
    </xf>
    <xf numFmtId="181" fontId="24" fillId="38" borderId="55" xfId="72" applyNumberFormat="1" applyFont="1" applyFill="1" applyBorder="1" applyAlignment="1">
      <alignment horizontal="right" vertical="center"/>
      <protection/>
    </xf>
    <xf numFmtId="181" fontId="24" fillId="38" borderId="56" xfId="72" applyNumberFormat="1" applyFont="1" applyFill="1" applyBorder="1" applyAlignment="1">
      <alignment horizontal="right" vertical="center"/>
      <protection/>
    </xf>
    <xf numFmtId="0" fontId="26" fillId="38" borderId="57" xfId="72" applyFont="1" applyFill="1" applyBorder="1" applyAlignment="1">
      <alignment horizontal="left" vertical="top" wrapText="1"/>
      <protection/>
    </xf>
    <xf numFmtId="178" fontId="99" fillId="38" borderId="47" xfId="59" applyNumberFormat="1" applyFont="1" applyFill="1" applyBorder="1" applyAlignment="1">
      <alignment horizontal="right" vertical="center"/>
    </xf>
    <xf numFmtId="181" fontId="24" fillId="38" borderId="58" xfId="72" applyNumberFormat="1" applyFont="1" applyFill="1" applyBorder="1" applyAlignment="1">
      <alignment horizontal="right" vertical="center"/>
      <protection/>
    </xf>
    <xf numFmtId="0" fontId="0" fillId="0" borderId="38" xfId="63" applyBorder="1" applyAlignment="1">
      <alignment horizontal="center"/>
      <protection/>
    </xf>
    <xf numFmtId="0" fontId="28" fillId="0" borderId="59" xfId="63" applyFont="1" applyBorder="1" applyAlignment="1">
      <alignment horizontal="center" wrapText="1"/>
      <protection/>
    </xf>
    <xf numFmtId="0" fontId="29" fillId="0" borderId="59" xfId="63" applyFont="1" applyBorder="1" applyAlignment="1">
      <alignment horizontal="center"/>
      <protection/>
    </xf>
    <xf numFmtId="0" fontId="29" fillId="0" borderId="59" xfId="63" applyFont="1" applyBorder="1" applyAlignment="1">
      <alignment horizontal="center" wrapText="1"/>
      <protection/>
    </xf>
    <xf numFmtId="0" fontId="29" fillId="0" borderId="39" xfId="63" applyFont="1" applyFill="1" applyBorder="1" applyAlignment="1">
      <alignment horizontal="center" wrapText="1"/>
      <protection/>
    </xf>
    <xf numFmtId="0" fontId="29" fillId="0" borderId="0" xfId="63" applyFont="1" applyFill="1" applyBorder="1" applyAlignment="1">
      <alignment horizontal="center" wrapText="1"/>
      <protection/>
    </xf>
    <xf numFmtId="0" fontId="0" fillId="0" borderId="0" xfId="63" applyFont="1">
      <alignment/>
      <protection/>
    </xf>
    <xf numFmtId="0" fontId="0" fillId="0" borderId="0" xfId="63" applyFont="1" applyAlignment="1">
      <alignment horizontal="center"/>
      <protection/>
    </xf>
    <xf numFmtId="0" fontId="0" fillId="0" borderId="60" xfId="63" applyBorder="1" applyAlignment="1">
      <alignment horizontal="center"/>
      <protection/>
    </xf>
    <xf numFmtId="0" fontId="29" fillId="0" borderId="19" xfId="63" applyFont="1" applyBorder="1">
      <alignment/>
      <protection/>
    </xf>
    <xf numFmtId="0" fontId="0" fillId="0" borderId="19" xfId="63" applyBorder="1" applyAlignment="1">
      <alignment horizontal="center"/>
      <protection/>
    </xf>
    <xf numFmtId="9" fontId="0" fillId="0" borderId="19" xfId="80" applyFont="1" applyBorder="1" applyAlignment="1">
      <alignment horizontal="center"/>
    </xf>
    <xf numFmtId="14" fontId="0" fillId="0" borderId="61" xfId="63" applyNumberFormat="1" applyFill="1" applyBorder="1" applyAlignment="1">
      <alignment horizontal="center"/>
      <protection/>
    </xf>
    <xf numFmtId="14" fontId="0" fillId="0" borderId="0" xfId="63" applyNumberFormat="1">
      <alignment/>
      <protection/>
    </xf>
    <xf numFmtId="43" fontId="0" fillId="0" borderId="0" xfId="59" applyFont="1" applyAlignment="1">
      <alignment/>
    </xf>
    <xf numFmtId="43" fontId="0" fillId="0" borderId="0" xfId="63" applyNumberFormat="1">
      <alignment/>
      <protection/>
    </xf>
    <xf numFmtId="0" fontId="0" fillId="0" borderId="62" xfId="63" applyBorder="1" applyAlignment="1">
      <alignment horizontal="center"/>
      <protection/>
    </xf>
    <xf numFmtId="0" fontId="29" fillId="0" borderId="17" xfId="63" applyFont="1" applyBorder="1">
      <alignment/>
      <protection/>
    </xf>
    <xf numFmtId="0" fontId="0" fillId="0" borderId="17" xfId="63" applyBorder="1" applyAlignment="1">
      <alignment horizontal="center"/>
      <protection/>
    </xf>
    <xf numFmtId="9" fontId="0" fillId="0" borderId="17" xfId="80" applyFont="1" applyBorder="1" applyAlignment="1">
      <alignment horizontal="center"/>
    </xf>
    <xf numFmtId="14" fontId="0" fillId="0" borderId="63" xfId="63" applyNumberFormat="1" applyBorder="1" applyAlignment="1">
      <alignment horizontal="center"/>
      <protection/>
    </xf>
    <xf numFmtId="14" fontId="0" fillId="0" borderId="63" xfId="63" applyNumberFormat="1" applyFill="1" applyBorder="1" applyAlignment="1">
      <alignment horizontal="center"/>
      <protection/>
    </xf>
    <xf numFmtId="172" fontId="100" fillId="0" borderId="0" xfId="80" applyNumberFormat="1" applyFont="1" applyAlignment="1">
      <alignment/>
    </xf>
    <xf numFmtId="9" fontId="0" fillId="0" borderId="0" xfId="63" applyNumberFormat="1">
      <alignment/>
      <protection/>
    </xf>
    <xf numFmtId="2" fontId="0" fillId="0" borderId="0" xfId="63" applyNumberFormat="1" applyFont="1">
      <alignment/>
      <protection/>
    </xf>
    <xf numFmtId="2" fontId="0" fillId="0" borderId="0" xfId="63" applyNumberFormat="1">
      <alignment/>
      <protection/>
    </xf>
    <xf numFmtId="172" fontId="101" fillId="0" borderId="0" xfId="80" applyNumberFormat="1" applyFont="1" applyAlignment="1">
      <alignment/>
    </xf>
    <xf numFmtId="0" fontId="0" fillId="0" borderId="62" xfId="63" applyBorder="1" applyAlignment="1">
      <alignment horizontal="center" vertical="center" wrapText="1"/>
      <protection/>
    </xf>
    <xf numFmtId="0" fontId="29" fillId="0" borderId="17" xfId="63" applyFont="1" applyBorder="1" applyAlignment="1">
      <alignment horizontal="left" vertical="center" wrapText="1"/>
      <protection/>
    </xf>
    <xf numFmtId="0" fontId="0" fillId="0" borderId="17" xfId="63" applyBorder="1" applyAlignment="1">
      <alignment horizontal="center" vertical="center" wrapText="1"/>
      <protection/>
    </xf>
    <xf numFmtId="9" fontId="0" fillId="0" borderId="17" xfId="80" applyFont="1" applyBorder="1" applyAlignment="1">
      <alignment horizontal="center" vertical="center" wrapText="1"/>
    </xf>
    <xf numFmtId="0" fontId="29" fillId="0" borderId="17" xfId="63" applyFont="1" applyBorder="1" applyAlignment="1">
      <alignment wrapText="1"/>
      <protection/>
    </xf>
    <xf numFmtId="0" fontId="0" fillId="0" borderId="64" xfId="63" applyFill="1" applyBorder="1" applyAlignment="1">
      <alignment horizontal="center"/>
      <protection/>
    </xf>
    <xf numFmtId="0" fontId="29" fillId="0" borderId="32" xfId="63" applyFont="1" applyFill="1" applyBorder="1">
      <alignment/>
      <protection/>
    </xf>
    <xf numFmtId="0" fontId="0" fillId="0" borderId="32" xfId="63" applyFill="1" applyBorder="1" applyAlignment="1">
      <alignment horizontal="center"/>
      <protection/>
    </xf>
    <xf numFmtId="9" fontId="0" fillId="0" borderId="32" xfId="80" applyFont="1" applyFill="1" applyBorder="1" applyAlignment="1">
      <alignment horizontal="center"/>
    </xf>
    <xf numFmtId="14" fontId="0" fillId="0" borderId="65" xfId="63" applyNumberFormat="1" applyFill="1" applyBorder="1" applyAlignment="1">
      <alignment horizontal="center"/>
      <protection/>
    </xf>
    <xf numFmtId="0" fontId="0" fillId="0" borderId="66" xfId="63" applyBorder="1">
      <alignment/>
      <protection/>
    </xf>
    <xf numFmtId="0" fontId="29" fillId="0" borderId="67" xfId="63" applyFont="1" applyFill="1" applyBorder="1">
      <alignment/>
      <protection/>
    </xf>
    <xf numFmtId="0" fontId="0" fillId="0" borderId="67" xfId="63" applyBorder="1" applyAlignment="1">
      <alignment horizontal="center"/>
      <protection/>
    </xf>
    <xf numFmtId="9" fontId="0" fillId="0" borderId="67" xfId="80" applyFont="1" applyBorder="1" applyAlignment="1">
      <alignment horizontal="center"/>
    </xf>
    <xf numFmtId="9" fontId="0" fillId="0" borderId="68" xfId="80" applyFont="1" applyBorder="1" applyAlignment="1">
      <alignment horizontal="center"/>
    </xf>
    <xf numFmtId="0" fontId="0" fillId="0" borderId="26" xfId="63" applyBorder="1">
      <alignment/>
      <protection/>
    </xf>
    <xf numFmtId="178" fontId="0" fillId="0" borderId="0" xfId="63" applyNumberFormat="1">
      <alignment/>
      <protection/>
    </xf>
    <xf numFmtId="9" fontId="0" fillId="0" borderId="0" xfId="80" applyFont="1" applyAlignment="1">
      <alignment/>
    </xf>
    <xf numFmtId="0" fontId="0" fillId="0" borderId="0" xfId="63" applyAlignment="1">
      <alignment horizontal="center"/>
      <protection/>
    </xf>
    <xf numFmtId="0" fontId="0" fillId="0" borderId="0" xfId="63" applyFont="1" applyAlignment="1">
      <alignment horizontal="right"/>
      <protection/>
    </xf>
    <xf numFmtId="172" fontId="0" fillId="0" borderId="0" xfId="63" applyNumberFormat="1">
      <alignment/>
      <protection/>
    </xf>
    <xf numFmtId="172" fontId="100" fillId="0" borderId="0" xfId="63" applyNumberFormat="1" applyFont="1">
      <alignment/>
      <protection/>
    </xf>
    <xf numFmtId="0" fontId="30" fillId="0" borderId="0" xfId="0" applyFont="1" applyAlignment="1">
      <alignment/>
    </xf>
    <xf numFmtId="0" fontId="30" fillId="0" borderId="0" xfId="0" applyFont="1" applyAlignment="1">
      <alignment horizontal="center"/>
    </xf>
    <xf numFmtId="0" fontId="102" fillId="0" borderId="0" xfId="0" applyFont="1" applyAlignment="1">
      <alignment/>
    </xf>
    <xf numFmtId="0" fontId="103" fillId="0" borderId="0" xfId="0" applyFont="1" applyBorder="1" applyAlignment="1">
      <alignment vertical="center"/>
    </xf>
    <xf numFmtId="0" fontId="103" fillId="0" borderId="69" xfId="0" applyFont="1" applyBorder="1" applyAlignment="1">
      <alignment vertical="center"/>
    </xf>
    <xf numFmtId="0" fontId="103" fillId="0" borderId="70" xfId="0" applyFont="1" applyBorder="1" applyAlignment="1">
      <alignment/>
    </xf>
    <xf numFmtId="0" fontId="103" fillId="0" borderId="71" xfId="0" applyFont="1" applyBorder="1" applyAlignment="1">
      <alignment horizontal="right"/>
    </xf>
    <xf numFmtId="0" fontId="103" fillId="0" borderId="71" xfId="0" applyFont="1" applyFill="1" applyBorder="1" applyAlignment="1">
      <alignment horizontal="center" vertical="center"/>
    </xf>
    <xf numFmtId="0" fontId="103" fillId="0" borderId="72" xfId="0" applyFont="1" applyFill="1" applyBorder="1" applyAlignment="1">
      <alignment horizontal="center" vertical="center"/>
    </xf>
    <xf numFmtId="0" fontId="103" fillId="0" borderId="69" xfId="0" applyFont="1" applyBorder="1" applyAlignment="1">
      <alignment/>
    </xf>
    <xf numFmtId="2" fontId="103" fillId="0" borderId="0" xfId="0" applyNumberFormat="1" applyFont="1" applyBorder="1" applyAlignment="1">
      <alignment horizontal="right"/>
    </xf>
    <xf numFmtId="4" fontId="103" fillId="0" borderId="0" xfId="0" applyNumberFormat="1" applyFont="1" applyBorder="1" applyAlignment="1">
      <alignment horizontal="right"/>
    </xf>
    <xf numFmtId="0" fontId="103" fillId="0" borderId="0" xfId="0" applyFont="1" applyFill="1" applyBorder="1" applyAlignment="1">
      <alignment horizontal="center" vertical="center"/>
    </xf>
    <xf numFmtId="0" fontId="103" fillId="0" borderId="73" xfId="0" applyFont="1" applyFill="1" applyBorder="1" applyAlignment="1">
      <alignment horizontal="center" vertical="center"/>
    </xf>
    <xf numFmtId="0" fontId="103" fillId="0" borderId="0" xfId="0" applyFont="1" applyBorder="1" applyAlignment="1">
      <alignment horizontal="right"/>
    </xf>
    <xf numFmtId="3" fontId="103" fillId="0" borderId="0" xfId="0" applyNumberFormat="1" applyFont="1" applyBorder="1" applyAlignment="1">
      <alignment/>
    </xf>
    <xf numFmtId="172" fontId="103" fillId="0" borderId="0" xfId="80" applyNumberFormat="1" applyFont="1" applyBorder="1" applyAlignment="1">
      <alignment horizontal="right"/>
    </xf>
    <xf numFmtId="0" fontId="103" fillId="0" borderId="0" xfId="0" applyFont="1" applyBorder="1" applyAlignment="1">
      <alignment/>
    </xf>
    <xf numFmtId="0" fontId="103" fillId="0" borderId="74" xfId="0" applyFont="1" applyFill="1" applyBorder="1" applyAlignment="1">
      <alignment horizontal="center" vertical="center"/>
    </xf>
    <xf numFmtId="0" fontId="103" fillId="0" borderId="0" xfId="0" applyFont="1" applyBorder="1" applyAlignment="1">
      <alignment horizontal="center" vertical="center"/>
    </xf>
    <xf numFmtId="0" fontId="103" fillId="0" borderId="73" xfId="0" applyFont="1" applyBorder="1" applyAlignment="1">
      <alignment horizontal="center" vertical="center"/>
    </xf>
    <xf numFmtId="172" fontId="103" fillId="0" borderId="0" xfId="80" applyNumberFormat="1" applyFont="1" applyBorder="1" applyAlignment="1">
      <alignment horizontal="center" vertical="center"/>
    </xf>
    <xf numFmtId="3" fontId="103" fillId="0" borderId="0" xfId="0" applyNumberFormat="1" applyFont="1" applyBorder="1" applyAlignment="1">
      <alignment horizontal="center" vertical="center"/>
    </xf>
    <xf numFmtId="172" fontId="103" fillId="0" borderId="73" xfId="80" applyNumberFormat="1" applyFont="1" applyBorder="1" applyAlignment="1">
      <alignment horizontal="center" vertical="center"/>
    </xf>
    <xf numFmtId="172" fontId="103" fillId="0" borderId="74" xfId="80" applyNumberFormat="1" applyFont="1" applyBorder="1" applyAlignment="1">
      <alignment horizontal="center" vertical="center"/>
    </xf>
    <xf numFmtId="3" fontId="103" fillId="0" borderId="74" xfId="0" applyNumberFormat="1" applyFont="1" applyBorder="1" applyAlignment="1">
      <alignment horizontal="center" vertical="center"/>
    </xf>
    <xf numFmtId="172" fontId="103" fillId="0" borderId="75" xfId="80" applyNumberFormat="1" applyFont="1" applyBorder="1" applyAlignment="1">
      <alignment horizontal="center" vertical="center"/>
    </xf>
    <xf numFmtId="3" fontId="103" fillId="0" borderId="69" xfId="0" applyNumberFormat="1" applyFont="1" applyBorder="1" applyAlignment="1">
      <alignment horizontal="right" vertical="center"/>
    </xf>
    <xf numFmtId="3" fontId="103" fillId="0" borderId="76" xfId="0" applyNumberFormat="1" applyFont="1" applyBorder="1" applyAlignment="1">
      <alignment horizontal="right" vertical="center"/>
    </xf>
    <xf numFmtId="0" fontId="104" fillId="0" borderId="70" xfId="0" applyFont="1" applyBorder="1" applyAlignment="1">
      <alignment/>
    </xf>
    <xf numFmtId="1" fontId="103" fillId="0" borderId="71" xfId="0" applyNumberFormat="1" applyFont="1" applyBorder="1" applyAlignment="1">
      <alignment horizontal="center"/>
    </xf>
    <xf numFmtId="1" fontId="103" fillId="0" borderId="72" xfId="0" applyNumberFormat="1" applyFont="1" applyBorder="1" applyAlignment="1">
      <alignment horizontal="center"/>
    </xf>
    <xf numFmtId="174" fontId="103" fillId="0" borderId="0" xfId="0" applyNumberFormat="1" applyFont="1" applyBorder="1" applyAlignment="1">
      <alignment horizontal="center"/>
    </xf>
    <xf numFmtId="174" fontId="103" fillId="0" borderId="73" xfId="0" applyNumberFormat="1" applyFont="1" applyBorder="1" applyAlignment="1">
      <alignment horizontal="center"/>
    </xf>
    <xf numFmtId="10" fontId="103" fillId="0" borderId="0" xfId="80" applyNumberFormat="1" applyFont="1" applyBorder="1" applyAlignment="1">
      <alignment horizontal="center"/>
    </xf>
    <xf numFmtId="2" fontId="103" fillId="0" borderId="0" xfId="0" applyNumberFormat="1" applyFont="1" applyBorder="1" applyAlignment="1">
      <alignment horizontal="center"/>
    </xf>
    <xf numFmtId="0" fontId="103" fillId="0" borderId="73" xfId="0" applyFont="1" applyBorder="1" applyAlignment="1">
      <alignment/>
    </xf>
    <xf numFmtId="0" fontId="103" fillId="0" borderId="0" xfId="0" applyFont="1" applyBorder="1" applyAlignment="1">
      <alignment horizontal="center"/>
    </xf>
    <xf numFmtId="0" fontId="105" fillId="0" borderId="69" xfId="0" applyFont="1" applyBorder="1" applyAlignment="1">
      <alignment/>
    </xf>
    <xf numFmtId="0" fontId="105" fillId="0" borderId="76" xfId="0" applyFont="1" applyBorder="1" applyAlignment="1">
      <alignment/>
    </xf>
    <xf numFmtId="0" fontId="103" fillId="0" borderId="75" xfId="0" applyFont="1" applyFill="1" applyBorder="1" applyAlignment="1">
      <alignment horizontal="center" vertical="center"/>
    </xf>
    <xf numFmtId="0" fontId="106" fillId="0" borderId="0" xfId="0" applyFont="1" applyAlignment="1">
      <alignment horizontal="right"/>
    </xf>
    <xf numFmtId="14" fontId="106" fillId="0" borderId="0" xfId="0" applyNumberFormat="1" applyFont="1" applyAlignment="1">
      <alignment horizontal="left"/>
    </xf>
    <xf numFmtId="0" fontId="0" fillId="0" borderId="0" xfId="0" applyFont="1" applyFill="1" applyBorder="1" applyAlignment="1">
      <alignment wrapText="1"/>
    </xf>
    <xf numFmtId="172" fontId="107" fillId="39" borderId="17" xfId="0" applyNumberFormat="1" applyFont="1" applyFill="1" applyBorder="1" applyAlignment="1">
      <alignment horizontal="center" vertical="center"/>
    </xf>
    <xf numFmtId="0" fontId="104" fillId="0" borderId="71" xfId="0" applyFont="1" applyBorder="1" applyAlignment="1">
      <alignment/>
    </xf>
    <xf numFmtId="0" fontId="105" fillId="0" borderId="0" xfId="0" applyFont="1" applyBorder="1" applyAlignment="1">
      <alignment/>
    </xf>
    <xf numFmtId="0" fontId="105" fillId="0" borderId="74" xfId="0" applyFont="1" applyBorder="1" applyAlignment="1">
      <alignment/>
    </xf>
    <xf numFmtId="0" fontId="5" fillId="0" borderId="0" xfId="0" applyFont="1" applyFill="1" applyBorder="1" applyAlignment="1">
      <alignment vertical="center"/>
    </xf>
    <xf numFmtId="3" fontId="108" fillId="40" borderId="0" xfId="0" applyNumberFormat="1" applyFont="1" applyFill="1" applyBorder="1" applyAlignment="1">
      <alignment vertical="center"/>
    </xf>
    <xf numFmtId="3" fontId="0" fillId="0" borderId="0" xfId="0" applyNumberFormat="1" applyFont="1" applyFill="1" applyBorder="1" applyAlignment="1">
      <alignment vertical="center"/>
    </xf>
    <xf numFmtId="171" fontId="0" fillId="0" borderId="0" xfId="0" applyNumberFormat="1" applyFont="1" applyFill="1" applyBorder="1" applyAlignment="1">
      <alignment vertical="center"/>
    </xf>
    <xf numFmtId="9" fontId="0" fillId="0" borderId="0" xfId="0" applyNumberFormat="1" applyFont="1" applyFill="1" applyBorder="1" applyAlignment="1">
      <alignment vertical="center"/>
    </xf>
    <xf numFmtId="169" fontId="0" fillId="0" borderId="0" xfId="0" applyNumberFormat="1" applyFont="1" applyFill="1" applyBorder="1" applyAlignment="1">
      <alignment vertical="center"/>
    </xf>
    <xf numFmtId="175" fontId="0" fillId="0" borderId="0" xfId="0" applyNumberFormat="1" applyFont="1" applyFill="1" applyBorder="1" applyAlignment="1">
      <alignment vertical="center"/>
    </xf>
    <xf numFmtId="0" fontId="19" fillId="0" borderId="0" xfId="0" applyFont="1" applyFill="1" applyBorder="1" applyAlignment="1">
      <alignment vertical="center"/>
    </xf>
    <xf numFmtId="169" fontId="19" fillId="0" borderId="0" xfId="0" applyNumberFormat="1" applyFont="1" applyFill="1" applyBorder="1" applyAlignment="1">
      <alignment vertical="center"/>
    </xf>
    <xf numFmtId="172" fontId="5" fillId="0" borderId="37" xfId="0" applyNumberFormat="1" applyFont="1" applyFill="1" applyBorder="1" applyAlignment="1">
      <alignment horizontal="center"/>
    </xf>
    <xf numFmtId="176" fontId="0" fillId="0" borderId="0" xfId="0" applyNumberFormat="1" applyFont="1" applyFill="1" applyAlignment="1">
      <alignment horizontal="center" vertical="center"/>
    </xf>
    <xf numFmtId="0" fontId="0" fillId="0" borderId="0" xfId="0" applyFont="1" applyFill="1" applyBorder="1" applyAlignment="1">
      <alignment horizontal="left" vertical="center"/>
    </xf>
    <xf numFmtId="169" fontId="108" fillId="0" borderId="0" xfId="46" applyNumberFormat="1" applyFont="1" applyFill="1" applyBorder="1" applyAlignment="1">
      <alignment vertical="center"/>
    </xf>
    <xf numFmtId="0" fontId="0" fillId="0" borderId="0" xfId="0" applyFont="1" applyFill="1" applyBorder="1" applyAlignment="1">
      <alignment horizontal="center" vertical="center"/>
    </xf>
    <xf numFmtId="171" fontId="0" fillId="0" borderId="0" xfId="0" applyNumberFormat="1" applyFont="1" applyFill="1" applyBorder="1" applyAlignment="1">
      <alignment horizontal="center" vertical="center"/>
    </xf>
    <xf numFmtId="169" fontId="0" fillId="0" borderId="0" xfId="46" applyNumberFormat="1" applyFont="1" applyFill="1" applyAlignment="1">
      <alignment horizontal="center" vertical="center"/>
    </xf>
    <xf numFmtId="171" fontId="0" fillId="0" borderId="0" xfId="0" applyNumberFormat="1" applyFont="1" applyFill="1" applyAlignment="1">
      <alignment horizontal="center" vertical="center"/>
    </xf>
    <xf numFmtId="0" fontId="5" fillId="0" borderId="0" xfId="0" applyFont="1" applyFill="1" applyBorder="1" applyAlignment="1">
      <alignment horizontal="left" vertical="center"/>
    </xf>
    <xf numFmtId="182" fontId="0" fillId="0" borderId="0" xfId="0" applyNumberFormat="1" applyFont="1" applyFill="1" applyBorder="1" applyAlignment="1">
      <alignment vertical="center"/>
    </xf>
    <xf numFmtId="0" fontId="0" fillId="0" borderId="31" xfId="0" applyFont="1" applyBorder="1" applyAlignment="1">
      <alignment vertical="center" wrapText="1"/>
    </xf>
    <xf numFmtId="172" fontId="5" fillId="0" borderId="0" xfId="0" applyNumberFormat="1" applyFont="1" applyFill="1" applyBorder="1" applyAlignment="1">
      <alignment horizontal="center" vertical="center"/>
    </xf>
    <xf numFmtId="171" fontId="100" fillId="33" borderId="77" xfId="0" applyNumberFormat="1" applyFont="1" applyFill="1" applyBorder="1" applyAlignment="1">
      <alignment horizontal="center" vertical="center"/>
    </xf>
    <xf numFmtId="171" fontId="108" fillId="0" borderId="19" xfId="0" applyNumberFormat="1" applyFont="1" applyBorder="1" applyAlignment="1">
      <alignment horizontal="center" vertical="center"/>
    </xf>
    <xf numFmtId="0" fontId="5" fillId="0" borderId="0" xfId="73" applyFont="1" applyAlignment="1">
      <alignment horizontal="right"/>
      <protection/>
    </xf>
    <xf numFmtId="0" fontId="0" fillId="0" borderId="17" xfId="73" applyFont="1" applyBorder="1">
      <alignment/>
      <protection/>
    </xf>
    <xf numFmtId="0" fontId="104" fillId="0" borderId="17" xfId="73" applyFont="1" applyBorder="1" applyAlignment="1">
      <alignment horizontal="center"/>
      <protection/>
    </xf>
    <xf numFmtId="0" fontId="5" fillId="0" borderId="17" xfId="73" applyFont="1" applyBorder="1">
      <alignment/>
      <protection/>
    </xf>
    <xf numFmtId="172" fontId="103" fillId="0" borderId="17" xfId="73" applyNumberFormat="1" applyFont="1" applyBorder="1" applyAlignment="1">
      <alignment horizontal="center"/>
      <protection/>
    </xf>
    <xf numFmtId="0" fontId="0" fillId="0" borderId="0" xfId="73">
      <alignment/>
      <protection/>
    </xf>
    <xf numFmtId="14" fontId="103" fillId="0" borderId="17" xfId="71" applyNumberFormat="1" applyFont="1" applyBorder="1" applyAlignment="1">
      <alignment horizontal="center" vertical="center" wrapText="1"/>
      <protection/>
    </xf>
    <xf numFmtId="0" fontId="0" fillId="0" borderId="0" xfId="63" applyAlignment="1">
      <alignment vertical="center"/>
      <protection/>
    </xf>
    <xf numFmtId="14" fontId="0" fillId="40" borderId="78" xfId="63" applyNumberFormat="1" applyFont="1" applyFill="1" applyBorder="1" applyAlignment="1">
      <alignment horizontal="left" vertical="center" wrapText="1" indent="1"/>
      <protection/>
    </xf>
    <xf numFmtId="0" fontId="0" fillId="0" borderId="78" xfId="63" applyFont="1" applyBorder="1" applyAlignment="1">
      <alignment horizontal="left" vertical="center" wrapText="1" indent="1"/>
      <protection/>
    </xf>
    <xf numFmtId="0" fontId="0" fillId="40" borderId="0" xfId="63" applyFont="1" applyFill="1" applyBorder="1" applyAlignment="1">
      <alignment horizontal="left" vertical="center" wrapText="1"/>
      <protection/>
    </xf>
    <xf numFmtId="0" fontId="0" fillId="0" borderId="0" xfId="0" applyFont="1" applyBorder="1" applyAlignment="1">
      <alignment/>
    </xf>
    <xf numFmtId="9" fontId="100" fillId="33" borderId="0" xfId="0" applyNumberFormat="1" applyFont="1" applyFill="1" applyBorder="1" applyAlignment="1">
      <alignment horizontal="center" vertical="center"/>
    </xf>
    <xf numFmtId="0" fontId="5" fillId="0" borderId="79" xfId="0" applyFont="1" applyBorder="1" applyAlignment="1">
      <alignment/>
    </xf>
    <xf numFmtId="0" fontId="5" fillId="0" borderId="80" xfId="71" applyFont="1" applyBorder="1" applyAlignment="1">
      <alignment horizontal="left" vertical="center" wrapText="1"/>
      <protection/>
    </xf>
    <xf numFmtId="0" fontId="5" fillId="0" borderId="81" xfId="71" applyFont="1" applyBorder="1" applyAlignment="1">
      <alignment horizontal="left" vertical="center" wrapText="1"/>
      <protection/>
    </xf>
    <xf numFmtId="0" fontId="5" fillId="0" borderId="82" xfId="0" applyFont="1" applyBorder="1" applyAlignment="1">
      <alignment vertical="center"/>
    </xf>
    <xf numFmtId="14" fontId="109" fillId="40" borderId="78" xfId="63" applyNumberFormat="1" applyFont="1" applyFill="1" applyBorder="1" applyAlignment="1">
      <alignment horizontal="left" vertical="center" wrapText="1" indent="1"/>
      <protection/>
    </xf>
    <xf numFmtId="0" fontId="109" fillId="40" borderId="78" xfId="63" applyFont="1" applyFill="1" applyBorder="1" applyAlignment="1">
      <alignment horizontal="left" vertical="center" wrapText="1" indent="1"/>
      <protection/>
    </xf>
    <xf numFmtId="0" fontId="109" fillId="0" borderId="83" xfId="0" applyFont="1" applyBorder="1" applyAlignment="1">
      <alignment vertical="center" wrapText="1"/>
    </xf>
    <xf numFmtId="0" fontId="109" fillId="0" borderId="78" xfId="63" applyFont="1" applyBorder="1" applyAlignment="1">
      <alignment horizontal="left" vertical="center" wrapText="1" indent="1"/>
      <protection/>
    </xf>
    <xf numFmtId="0" fontId="110" fillId="0" borderId="84" xfId="0" applyFont="1" applyBorder="1" applyAlignment="1">
      <alignment/>
    </xf>
    <xf numFmtId="0" fontId="5" fillId="0" borderId="82" xfId="0" applyFont="1" applyBorder="1" applyAlignment="1">
      <alignment/>
    </xf>
    <xf numFmtId="0" fontId="3" fillId="0" borderId="0" xfId="56" applyFill="1" applyBorder="1" applyAlignment="1" applyProtection="1">
      <alignment horizontal="justify" vertical="top" wrapText="1"/>
      <protection/>
    </xf>
    <xf numFmtId="0" fontId="3" fillId="0" borderId="0" xfId="56" applyFill="1" applyBorder="1" applyAlignment="1" applyProtection="1">
      <alignment vertical="top" wrapText="1"/>
      <protection/>
    </xf>
    <xf numFmtId="0" fontId="0" fillId="0" borderId="0" xfId="63" applyFont="1" applyFill="1" applyBorder="1" applyAlignment="1">
      <alignment vertical="top" wrapText="1"/>
      <protection/>
    </xf>
    <xf numFmtId="0" fontId="0" fillId="0" borderId="0" xfId="63" applyFont="1" applyFill="1" applyBorder="1" applyAlignment="1">
      <alignment horizontal="left" vertical="top" wrapText="1"/>
      <protection/>
    </xf>
    <xf numFmtId="0" fontId="0" fillId="0" borderId="0" xfId="63" applyFill="1" applyBorder="1" applyAlignment="1">
      <alignment wrapText="1"/>
      <protection/>
    </xf>
    <xf numFmtId="0" fontId="3" fillId="0" borderId="0" xfId="56" applyFill="1" applyBorder="1" applyAlignment="1" applyProtection="1">
      <alignment wrapText="1"/>
      <protection/>
    </xf>
    <xf numFmtId="0" fontId="0" fillId="0" borderId="0" xfId="63" applyNumberFormat="1" applyFill="1" applyBorder="1" applyAlignment="1">
      <alignment wrapText="1"/>
      <protection/>
    </xf>
    <xf numFmtId="0" fontId="3" fillId="0" borderId="0" xfId="56" applyNumberFormat="1" applyFill="1" applyBorder="1" applyAlignment="1" applyProtection="1">
      <alignment wrapText="1"/>
      <protection/>
    </xf>
    <xf numFmtId="0" fontId="0" fillId="0" borderId="0" xfId="0" applyFill="1" applyBorder="1" applyAlignment="1">
      <alignment/>
    </xf>
    <xf numFmtId="0" fontId="0" fillId="40" borderId="85" xfId="63" applyFont="1" applyFill="1" applyBorder="1" applyAlignment="1">
      <alignment horizontal="left" vertical="center" wrapText="1" indent="1"/>
      <protection/>
    </xf>
    <xf numFmtId="0" fontId="0" fillId="0" borderId="0" xfId="63" applyBorder="1">
      <alignment/>
      <protection/>
    </xf>
    <xf numFmtId="0" fontId="0" fillId="0" borderId="0" xfId="63" applyFont="1" applyFill="1" applyBorder="1" applyAlignment="1">
      <alignment horizontal="left" vertical="center" wrapText="1"/>
      <protection/>
    </xf>
    <xf numFmtId="0" fontId="0" fillId="0" borderId="0" xfId="63" applyFill="1" applyBorder="1">
      <alignment/>
      <protection/>
    </xf>
    <xf numFmtId="0" fontId="109" fillId="40" borderId="86" xfId="63" applyFont="1" applyFill="1" applyBorder="1" applyAlignment="1">
      <alignment horizontal="left" vertical="center" wrapText="1" indent="1"/>
      <protection/>
    </xf>
    <xf numFmtId="0" fontId="0" fillId="40" borderId="86" xfId="63" applyFont="1" applyFill="1" applyBorder="1" applyAlignment="1">
      <alignment horizontal="left" vertical="center" wrapText="1" indent="1"/>
      <protection/>
    </xf>
    <xf numFmtId="0" fontId="5" fillId="0" borderId="0" xfId="0" applyFont="1" applyBorder="1" applyAlignment="1">
      <alignment horizontal="left" wrapText="1"/>
    </xf>
    <xf numFmtId="0" fontId="0" fillId="0" borderId="0" xfId="63" applyBorder="1" applyAlignment="1">
      <alignment vertical="center"/>
      <protection/>
    </xf>
    <xf numFmtId="0" fontId="0" fillId="0" borderId="87" xfId="0" applyFont="1" applyBorder="1" applyAlignment="1">
      <alignment vertical="center" wrapText="1"/>
    </xf>
    <xf numFmtId="0" fontId="0" fillId="0" borderId="0" xfId="0" applyNumberFormat="1" applyFont="1" applyBorder="1" applyAlignment="1">
      <alignment wrapText="1"/>
    </xf>
    <xf numFmtId="0" fontId="111" fillId="0" borderId="0" xfId="0" applyFont="1" applyAlignment="1">
      <alignment horizontal="right"/>
    </xf>
    <xf numFmtId="14" fontId="111" fillId="0" borderId="0" xfId="0" applyNumberFormat="1" applyFont="1" applyAlignment="1">
      <alignment horizontal="left"/>
    </xf>
    <xf numFmtId="9" fontId="108" fillId="0" borderId="31" xfId="76" applyFont="1" applyBorder="1" applyAlignment="1">
      <alignment horizontal="center" vertical="center"/>
    </xf>
    <xf numFmtId="0" fontId="109" fillId="0" borderId="17" xfId="0" applyFont="1" applyBorder="1" applyAlignment="1">
      <alignment horizontal="center" vertical="center"/>
    </xf>
    <xf numFmtId="0" fontId="22" fillId="0" borderId="17" xfId="0" applyFont="1" applyFill="1" applyBorder="1" applyAlignment="1">
      <alignment horizontal="center" vertical="center" wrapText="1"/>
    </xf>
    <xf numFmtId="0" fontId="3" fillId="0" borderId="31" xfId="56" applyBorder="1" applyAlignment="1" applyProtection="1">
      <alignment vertical="center"/>
      <protection/>
    </xf>
    <xf numFmtId="0" fontId="3" fillId="0" borderId="19" xfId="56" applyBorder="1" applyAlignment="1" applyProtection="1">
      <alignment vertical="center"/>
      <protection/>
    </xf>
    <xf numFmtId="183" fontId="0" fillId="36" borderId="19" xfId="42" applyNumberFormat="1" applyFont="1" applyFill="1" applyBorder="1" applyAlignment="1">
      <alignment horizontal="center" vertical="center"/>
    </xf>
    <xf numFmtId="172" fontId="110" fillId="0" borderId="17" xfId="79" applyNumberFormat="1" applyFont="1" applyFill="1" applyBorder="1" applyAlignment="1">
      <alignment horizontal="center"/>
    </xf>
    <xf numFmtId="172" fontId="109" fillId="0" borderId="17" xfId="73" applyNumberFormat="1" applyFont="1" applyBorder="1" applyAlignment="1">
      <alignment horizontal="center"/>
      <protection/>
    </xf>
    <xf numFmtId="14" fontId="109" fillId="0" borderId="17" xfId="71" applyNumberFormat="1" applyFont="1" applyFill="1" applyBorder="1" applyAlignment="1">
      <alignment horizontal="center" vertical="center" wrapText="1"/>
      <protection/>
    </xf>
    <xf numFmtId="172" fontId="0" fillId="0" borderId="17" xfId="63" applyNumberFormat="1" applyFont="1" applyBorder="1" applyAlignment="1">
      <alignment horizontal="center"/>
      <protection/>
    </xf>
    <xf numFmtId="14" fontId="0" fillId="0" borderId="17" xfId="63" applyNumberFormat="1" applyFont="1" applyBorder="1" applyAlignment="1">
      <alignment horizontal="center"/>
      <protection/>
    </xf>
    <xf numFmtId="0" fontId="5" fillId="0" borderId="17" xfId="63" applyFont="1" applyBorder="1" applyAlignment="1">
      <alignment horizontal="center"/>
      <protection/>
    </xf>
    <xf numFmtId="0" fontId="5" fillId="0" borderId="0" xfId="73" applyFont="1" applyBorder="1">
      <alignment/>
      <protection/>
    </xf>
    <xf numFmtId="14" fontId="103" fillId="0" borderId="0" xfId="71" applyNumberFormat="1" applyFont="1" applyBorder="1" applyAlignment="1">
      <alignment horizontal="center" vertical="center" wrapText="1"/>
      <protection/>
    </xf>
    <xf numFmtId="14" fontId="109" fillId="0" borderId="0" xfId="71" applyNumberFormat="1" applyFont="1" applyFill="1" applyBorder="1" applyAlignment="1">
      <alignment horizontal="center" vertical="center" wrapText="1"/>
      <protection/>
    </xf>
    <xf numFmtId="14" fontId="0" fillId="0" borderId="0" xfId="63" applyNumberFormat="1" applyFont="1" applyBorder="1" applyAlignment="1">
      <alignment horizontal="center"/>
      <protection/>
    </xf>
    <xf numFmtId="179" fontId="5" fillId="0" borderId="17" xfId="46" applyNumberFormat="1" applyFont="1" applyFill="1" applyBorder="1" applyAlignment="1">
      <alignment/>
    </xf>
    <xf numFmtId="179" fontId="5" fillId="0" borderId="0" xfId="46" applyNumberFormat="1" applyFont="1" applyFill="1" applyAlignment="1">
      <alignment/>
    </xf>
    <xf numFmtId="0" fontId="5" fillId="0" borderId="88" xfId="0" applyFont="1" applyBorder="1" applyAlignment="1">
      <alignment horizontal="center"/>
    </xf>
    <xf numFmtId="0" fontId="5" fillId="0" borderId="27" xfId="0" applyFont="1" applyBorder="1" applyAlignment="1">
      <alignment horizontal="center"/>
    </xf>
    <xf numFmtId="0" fontId="5" fillId="0" borderId="17" xfId="0" applyFont="1" applyBorder="1" applyAlignment="1">
      <alignment horizontal="center"/>
    </xf>
    <xf numFmtId="0" fontId="0" fillId="0" borderId="29" xfId="0" applyFont="1" applyBorder="1" applyAlignment="1">
      <alignment horizontal="center"/>
    </xf>
    <xf numFmtId="0" fontId="0" fillId="0" borderId="29" xfId="0" applyBorder="1" applyAlignment="1">
      <alignment horizontal="center"/>
    </xf>
    <xf numFmtId="0" fontId="0" fillId="0" borderId="2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0" xfId="0" applyBorder="1" applyAlignment="1">
      <alignment horizontal="right"/>
    </xf>
    <xf numFmtId="0" fontId="0" fillId="0" borderId="0" xfId="0" applyFont="1" applyBorder="1" applyAlignment="1">
      <alignment horizontal="right"/>
    </xf>
    <xf numFmtId="0" fontId="0" fillId="0" borderId="36" xfId="0" applyFont="1" applyBorder="1" applyAlignment="1">
      <alignment horizontal="right"/>
    </xf>
    <xf numFmtId="0" fontId="112" fillId="0" borderId="31" xfId="0" applyFont="1" applyBorder="1" applyAlignment="1">
      <alignment horizontal="center"/>
    </xf>
    <xf numFmtId="171" fontId="112" fillId="0" borderId="31" xfId="0" applyNumberFormat="1" applyFont="1" applyFill="1" applyBorder="1" applyAlignment="1">
      <alignment horizontal="center" vertical="center"/>
    </xf>
    <xf numFmtId="0" fontId="112" fillId="0" borderId="19" xfId="0" applyFont="1" applyBorder="1" applyAlignment="1">
      <alignment horizontal="center"/>
    </xf>
    <xf numFmtId="3" fontId="0" fillId="40" borderId="0" xfId="0" applyNumberFormat="1" applyFont="1" applyFill="1" applyBorder="1" applyAlignment="1">
      <alignment vertical="center"/>
    </xf>
    <xf numFmtId="182" fontId="0" fillId="40" borderId="0" xfId="0" applyNumberFormat="1" applyFont="1" applyFill="1" applyBorder="1" applyAlignment="1">
      <alignment vertical="center"/>
    </xf>
    <xf numFmtId="0" fontId="105" fillId="0" borderId="0" xfId="0" applyFont="1" applyFill="1" applyBorder="1" applyAlignment="1">
      <alignment horizontal="left" vertical="center"/>
    </xf>
    <xf numFmtId="0" fontId="0" fillId="40" borderId="0" xfId="0" applyFont="1" applyFill="1" applyBorder="1" applyAlignment="1">
      <alignment horizontal="left" vertical="center"/>
    </xf>
    <xf numFmtId="176" fontId="18" fillId="0" borderId="0" xfId="46" applyNumberFormat="1" applyFont="1" applyFill="1" applyBorder="1" applyAlignment="1">
      <alignment vertical="center"/>
    </xf>
    <xf numFmtId="170" fontId="0" fillId="0" borderId="0" xfId="46" applyNumberFormat="1" applyFont="1" applyFill="1" applyBorder="1" applyAlignment="1">
      <alignment vertical="center"/>
    </xf>
    <xf numFmtId="10" fontId="0" fillId="0" borderId="0" xfId="46" applyNumberFormat="1" applyFont="1" applyFill="1" applyBorder="1" applyAlignment="1">
      <alignment vertical="center"/>
    </xf>
    <xf numFmtId="169" fontId="0" fillId="0" borderId="0" xfId="46" applyNumberFormat="1" applyFont="1" applyFill="1" applyBorder="1" applyAlignment="1">
      <alignment vertical="center"/>
    </xf>
    <xf numFmtId="169" fontId="0" fillId="0" borderId="0" xfId="46" applyNumberFormat="1" applyFont="1" applyFill="1" applyBorder="1" applyAlignment="1">
      <alignment horizontal="center" vertical="center"/>
    </xf>
    <xf numFmtId="0" fontId="5" fillId="2" borderId="0" xfId="0" applyFont="1" applyFill="1" applyBorder="1" applyAlignment="1">
      <alignment vertical="center"/>
    </xf>
    <xf numFmtId="172" fontId="0" fillId="2" borderId="0" xfId="0" applyNumberFormat="1" applyFont="1" applyFill="1" applyBorder="1" applyAlignment="1">
      <alignment vertical="center"/>
    </xf>
    <xf numFmtId="3" fontId="0" fillId="2" borderId="0" xfId="0" applyNumberFormat="1" applyFont="1" applyFill="1" applyBorder="1" applyAlignment="1">
      <alignment vertical="center"/>
    </xf>
    <xf numFmtId="176" fontId="0" fillId="0" borderId="0" xfId="46" applyNumberFormat="1" applyFont="1" applyFill="1" applyBorder="1" applyAlignment="1">
      <alignment vertical="center"/>
    </xf>
    <xf numFmtId="172" fontId="0" fillId="0" borderId="0" xfId="76" applyNumberFormat="1" applyFont="1" applyFill="1" applyBorder="1" applyAlignment="1">
      <alignment vertical="center"/>
    </xf>
    <xf numFmtId="9" fontId="0" fillId="36" borderId="35" xfId="76" applyFont="1" applyFill="1" applyBorder="1" applyAlignment="1">
      <alignment horizontal="center" vertical="center"/>
    </xf>
    <xf numFmtId="169" fontId="18" fillId="0" borderId="0" xfId="46" applyNumberFormat="1" applyFont="1" applyFill="1" applyBorder="1" applyAlignment="1">
      <alignment vertical="center"/>
    </xf>
    <xf numFmtId="0" fontId="2" fillId="0" borderId="0" xfId="0" applyFont="1" applyFill="1" applyBorder="1" applyAlignment="1">
      <alignment vertical="center"/>
    </xf>
    <xf numFmtId="0" fontId="5" fillId="0" borderId="88" xfId="0" applyFont="1" applyFill="1" applyBorder="1" applyAlignment="1">
      <alignment horizontal="left" vertical="center"/>
    </xf>
    <xf numFmtId="0" fontId="5" fillId="0" borderId="27" xfId="0" applyFont="1" applyFill="1" applyBorder="1" applyAlignment="1">
      <alignment vertical="center"/>
    </xf>
    <xf numFmtId="0" fontId="5" fillId="2" borderId="27" xfId="0" applyFont="1" applyFill="1" applyBorder="1" applyAlignment="1">
      <alignment horizontal="center" vertical="center"/>
    </xf>
    <xf numFmtId="0" fontId="19" fillId="0" borderId="0" xfId="0" applyFont="1" applyFill="1" applyBorder="1" applyAlignment="1">
      <alignment horizontal="left" vertical="center"/>
    </xf>
    <xf numFmtId="0" fontId="5" fillId="0" borderId="0" xfId="0" applyFont="1" applyFill="1" applyBorder="1" applyAlignment="1">
      <alignment horizontal="right" vertical="center"/>
    </xf>
    <xf numFmtId="168" fontId="0" fillId="0" borderId="0" xfId="0" applyNumberFormat="1" applyFont="1" applyFill="1" applyBorder="1" applyAlignment="1">
      <alignment vertical="center"/>
    </xf>
    <xf numFmtId="166" fontId="0" fillId="0" borderId="0" xfId="0" applyNumberFormat="1" applyFont="1" applyFill="1" applyBorder="1" applyAlignment="1">
      <alignment vertical="center"/>
    </xf>
    <xf numFmtId="0" fontId="2" fillId="0" borderId="0" xfId="0" applyFont="1" applyFill="1" applyBorder="1" applyAlignment="1">
      <alignment horizontal="center" vertical="center"/>
    </xf>
    <xf numFmtId="169" fontId="2" fillId="0" borderId="0" xfId="0" applyNumberFormat="1" applyFont="1" applyFill="1" applyBorder="1" applyAlignment="1">
      <alignment vertical="center"/>
    </xf>
    <xf numFmtId="169" fontId="0" fillId="0" borderId="0" xfId="0" applyNumberFormat="1" applyFont="1" applyFill="1" applyBorder="1" applyAlignment="1">
      <alignment horizontal="left" vertical="center"/>
    </xf>
    <xf numFmtId="169" fontId="2" fillId="0" borderId="0" xfId="0" applyNumberFormat="1" applyFont="1" applyFill="1" applyBorder="1" applyAlignment="1">
      <alignment horizontal="center" vertical="center"/>
    </xf>
    <xf numFmtId="169" fontId="5" fillId="0" borderId="0" xfId="0" applyNumberFormat="1" applyFont="1" applyFill="1" applyBorder="1" applyAlignment="1">
      <alignment horizontal="left" vertical="center"/>
    </xf>
    <xf numFmtId="169" fontId="19" fillId="0" borderId="0" xfId="0" applyNumberFormat="1" applyFont="1" applyFill="1" applyBorder="1" applyAlignment="1">
      <alignment horizontal="left" vertical="center"/>
    </xf>
    <xf numFmtId="0" fontId="0" fillId="0" borderId="0" xfId="64" applyAlignment="1">
      <alignment/>
    </xf>
    <xf numFmtId="0" fontId="0" fillId="0" borderId="0" xfId="64" applyFont="1" applyAlignment="1">
      <alignment/>
    </xf>
    <xf numFmtId="0" fontId="0" fillId="0" borderId="0" xfId="64" applyFont="1" applyBorder="1" applyAlignment="1">
      <alignment/>
    </xf>
    <xf numFmtId="0" fontId="0" fillId="0" borderId="0" xfId="64" applyFont="1" applyFill="1" applyBorder="1" applyAlignment="1">
      <alignment/>
    </xf>
    <xf numFmtId="0" fontId="80" fillId="0" borderId="0" xfId="66">
      <alignment/>
      <protection/>
    </xf>
    <xf numFmtId="0" fontId="20" fillId="0" borderId="0" xfId="64" applyFont="1" applyFill="1" applyBorder="1" applyAlignment="1">
      <alignment/>
    </xf>
    <xf numFmtId="0" fontId="15" fillId="0" borderId="0" xfId="64" applyFont="1" applyFill="1" applyBorder="1" applyAlignment="1">
      <alignment/>
    </xf>
    <xf numFmtId="0" fontId="42" fillId="0" borderId="0" xfId="64" applyFont="1" applyFill="1" applyBorder="1" applyAlignment="1">
      <alignment/>
    </xf>
    <xf numFmtId="0" fontId="43" fillId="0" borderId="0" xfId="64" applyFont="1" applyFill="1" applyBorder="1" applyAlignment="1">
      <alignment/>
    </xf>
    <xf numFmtId="0" fontId="10" fillId="0" borderId="0" xfId="64" applyFont="1" applyFill="1" applyBorder="1" applyAlignment="1">
      <alignment horizontal="right"/>
    </xf>
    <xf numFmtId="0" fontId="0" fillId="0" borderId="89" xfId="64" applyFont="1" applyBorder="1" applyAlignment="1">
      <alignment/>
    </xf>
    <xf numFmtId="0" fontId="44" fillId="0" borderId="90" xfId="64" applyFont="1" applyFill="1" applyBorder="1" applyAlignment="1">
      <alignment wrapText="1"/>
    </xf>
    <xf numFmtId="169" fontId="44" fillId="0" borderId="90" xfId="64" applyNumberFormat="1" applyFont="1" applyFill="1" applyBorder="1" applyAlignment="1">
      <alignment horizontal="right" wrapText="1"/>
    </xf>
    <xf numFmtId="0" fontId="0" fillId="0" borderId="90" xfId="64" applyFont="1" applyBorder="1" applyAlignment="1">
      <alignment/>
    </xf>
    <xf numFmtId="0" fontId="0" fillId="0" borderId="91" xfId="64" applyFont="1" applyBorder="1" applyAlignment="1">
      <alignment/>
    </xf>
    <xf numFmtId="0" fontId="0" fillId="0" borderId="92" xfId="64" applyFont="1" applyBorder="1" applyAlignment="1">
      <alignment/>
    </xf>
    <xf numFmtId="0" fontId="45" fillId="0" borderId="0" xfId="64" applyFont="1" applyFill="1" applyBorder="1" applyAlignment="1">
      <alignment wrapText="1"/>
    </xf>
    <xf numFmtId="184" fontId="45" fillId="0" borderId="0" xfId="48" applyNumberFormat="1" applyFont="1" applyFill="1" applyBorder="1" applyAlignment="1">
      <alignment horizontal="center" wrapText="1"/>
    </xf>
    <xf numFmtId="0" fontId="44" fillId="0" borderId="0" xfId="64" applyFont="1" applyBorder="1" applyAlignment="1">
      <alignment/>
    </xf>
    <xf numFmtId="0" fontId="0" fillId="0" borderId="93" xfId="64" applyFont="1" applyBorder="1" applyAlignment="1">
      <alignment/>
    </xf>
    <xf numFmtId="0" fontId="45" fillId="0" borderId="0" xfId="64" applyFont="1" applyFill="1" applyBorder="1" applyAlignment="1">
      <alignment horizontal="left" shrinkToFit="1"/>
    </xf>
    <xf numFmtId="44" fontId="45" fillId="0" borderId="0" xfId="48" applyFont="1" applyFill="1" applyBorder="1" applyAlignment="1">
      <alignment horizontal="center" wrapText="1"/>
    </xf>
    <xf numFmtId="0" fontId="45" fillId="0" borderId="0" xfId="64" applyFont="1" applyFill="1" applyBorder="1" applyAlignment="1">
      <alignment/>
    </xf>
    <xf numFmtId="0" fontId="44" fillId="0" borderId="0" xfId="64" applyFont="1" applyFill="1" applyBorder="1" applyAlignment="1">
      <alignment/>
    </xf>
    <xf numFmtId="0" fontId="45" fillId="0" borderId="94" xfId="64" applyFont="1" applyFill="1" applyBorder="1" applyAlignment="1">
      <alignment/>
    </xf>
    <xf numFmtId="0" fontId="45" fillId="0" borderId="94" xfId="64" applyFont="1" applyFill="1" applyBorder="1" applyAlignment="1">
      <alignment horizontal="center"/>
    </xf>
    <xf numFmtId="0" fontId="45" fillId="0" borderId="94" xfId="64" applyFont="1" applyBorder="1" applyAlignment="1">
      <alignment horizontal="right"/>
    </xf>
    <xf numFmtId="49" fontId="45" fillId="0" borderId="95" xfId="64" applyNumberFormat="1" applyFont="1" applyFill="1" applyBorder="1" applyAlignment="1">
      <alignment/>
    </xf>
    <xf numFmtId="0" fontId="45" fillId="0" borderId="95" xfId="64" applyFont="1" applyFill="1" applyBorder="1" applyAlignment="1">
      <alignment horizontal="center"/>
    </xf>
    <xf numFmtId="0" fontId="45" fillId="0" borderId="95" xfId="64" applyFont="1" applyBorder="1" applyAlignment="1">
      <alignment horizontal="right"/>
    </xf>
    <xf numFmtId="3" fontId="44" fillId="0" borderId="0" xfId="64" applyNumberFormat="1" applyFont="1" applyFill="1" applyBorder="1" applyAlignment="1">
      <alignment horizontal="center" wrapText="1"/>
    </xf>
    <xf numFmtId="0" fontId="44" fillId="0" borderId="0" xfId="64" applyFont="1" applyBorder="1" applyAlignment="1">
      <alignment horizontal="right" indent="2"/>
    </xf>
    <xf numFmtId="0" fontId="45" fillId="0" borderId="0" xfId="64" applyFont="1" applyFill="1" applyBorder="1" applyAlignment="1">
      <alignment horizontal="right" wrapText="1" indent="1"/>
    </xf>
    <xf numFmtId="0" fontId="44" fillId="0" borderId="0" xfId="64" applyFont="1" applyFill="1" applyBorder="1" applyAlignment="1">
      <alignment wrapText="1"/>
    </xf>
    <xf numFmtId="178" fontId="44" fillId="0" borderId="0" xfId="44" applyNumberFormat="1" applyFont="1" applyFill="1" applyBorder="1" applyAlignment="1">
      <alignment horizontal="right" wrapText="1" indent="1"/>
    </xf>
    <xf numFmtId="0" fontId="44" fillId="0" borderId="0" xfId="64" applyFont="1" applyFill="1" applyBorder="1" applyAlignment="1">
      <alignment horizontal="right" indent="1"/>
    </xf>
    <xf numFmtId="0" fontId="44" fillId="0" borderId="0" xfId="64" applyFont="1" applyBorder="1" applyAlignment="1">
      <alignment horizontal="center"/>
    </xf>
    <xf numFmtId="9" fontId="44" fillId="0" borderId="0" xfId="64" applyNumberFormat="1" applyFont="1" applyFill="1" applyBorder="1" applyAlignment="1">
      <alignment horizontal="right" wrapText="1" indent="1"/>
    </xf>
    <xf numFmtId="9" fontId="0" fillId="0" borderId="93" xfId="64" applyNumberFormat="1" applyFont="1" applyBorder="1" applyAlignment="1">
      <alignment/>
    </xf>
    <xf numFmtId="0" fontId="44" fillId="0" borderId="94" xfId="64" applyFont="1" applyFill="1" applyBorder="1" applyAlignment="1">
      <alignment wrapText="1"/>
    </xf>
    <xf numFmtId="0" fontId="44" fillId="0" borderId="94" xfId="64" applyFont="1" applyBorder="1" applyAlignment="1">
      <alignment horizontal="center"/>
    </xf>
    <xf numFmtId="0" fontId="44" fillId="0" borderId="94" xfId="64" applyFont="1" applyBorder="1" applyAlignment="1">
      <alignment horizontal="right" indent="2"/>
    </xf>
    <xf numFmtId="9" fontId="44" fillId="0" borderId="94" xfId="64" applyNumberFormat="1" applyFont="1" applyFill="1" applyBorder="1" applyAlignment="1">
      <alignment horizontal="right" wrapText="1" indent="1"/>
    </xf>
    <xf numFmtId="170" fontId="0" fillId="0" borderId="0" xfId="64" applyNumberFormat="1" applyAlignment="1">
      <alignment/>
    </xf>
    <xf numFmtId="0" fontId="41" fillId="0" borderId="92" xfId="64" applyFont="1" applyBorder="1" applyAlignment="1">
      <alignment/>
    </xf>
    <xf numFmtId="0" fontId="44" fillId="0" borderId="95" xfId="64" applyFont="1" applyBorder="1" applyAlignment="1">
      <alignment/>
    </xf>
    <xf numFmtId="0" fontId="48" fillId="0" borderId="95" xfId="64" applyFont="1" applyBorder="1" applyAlignment="1">
      <alignment horizontal="center"/>
    </xf>
    <xf numFmtId="0" fontId="48" fillId="0" borderId="95" xfId="64" applyFont="1" applyFill="1" applyBorder="1" applyAlignment="1">
      <alignment horizontal="right" indent="2"/>
    </xf>
    <xf numFmtId="0" fontId="48" fillId="0" borderId="95" xfId="64" applyFont="1" applyFill="1" applyBorder="1" applyAlignment="1">
      <alignment horizontal="right" indent="1"/>
    </xf>
    <xf numFmtId="9" fontId="48" fillId="0" borderId="95" xfId="77" applyFont="1" applyFill="1" applyBorder="1" applyAlignment="1">
      <alignment horizontal="right" indent="1"/>
    </xf>
    <xf numFmtId="169" fontId="0" fillId="0" borderId="0" xfId="64" applyNumberFormat="1" applyAlignment="1">
      <alignment/>
    </xf>
    <xf numFmtId="0" fontId="45" fillId="0" borderId="95" xfId="64" applyFont="1" applyFill="1" applyBorder="1" applyAlignment="1">
      <alignment/>
    </xf>
    <xf numFmtId="169" fontId="44" fillId="0" borderId="0" xfId="64" applyNumberFormat="1" applyFont="1" applyFill="1" applyBorder="1" applyAlignment="1">
      <alignment horizontal="center" vertical="center"/>
    </xf>
    <xf numFmtId="0" fontId="44" fillId="0" borderId="0" xfId="64" applyFont="1" applyBorder="1" applyAlignment="1">
      <alignment horizontal="left" vertical="center" indent="2"/>
    </xf>
    <xf numFmtId="169" fontId="44" fillId="0" borderId="0" xfId="64" applyNumberFormat="1" applyFont="1" applyFill="1" applyBorder="1" applyAlignment="1">
      <alignment horizontal="right" vertical="center" indent="1"/>
    </xf>
    <xf numFmtId="170" fontId="0" fillId="0" borderId="93" xfId="64" applyNumberFormat="1" applyFont="1" applyBorder="1" applyAlignment="1">
      <alignment/>
    </xf>
    <xf numFmtId="0" fontId="44" fillId="0" borderId="94" xfId="64" applyFont="1" applyBorder="1" applyAlignment="1">
      <alignment/>
    </xf>
    <xf numFmtId="9" fontId="44" fillId="0" borderId="94" xfId="77" applyNumberFormat="1" applyFont="1" applyBorder="1" applyAlignment="1">
      <alignment horizontal="center"/>
    </xf>
    <xf numFmtId="0" fontId="48" fillId="0" borderId="94" xfId="64" applyFont="1" applyFill="1" applyBorder="1" applyAlignment="1">
      <alignment horizontal="right" indent="2"/>
    </xf>
    <xf numFmtId="44" fontId="1" fillId="0" borderId="0" xfId="49" applyFont="1" applyAlignment="1">
      <alignment/>
    </xf>
    <xf numFmtId="0" fontId="44" fillId="0" borderId="95" xfId="64" applyFont="1" applyFill="1" applyBorder="1" applyAlignment="1">
      <alignment wrapText="1"/>
    </xf>
    <xf numFmtId="0" fontId="48" fillId="0" borderId="95" xfId="64" applyFont="1" applyBorder="1" applyAlignment="1">
      <alignment horizontal="right" indent="2"/>
    </xf>
    <xf numFmtId="9" fontId="48" fillId="0" borderId="95" xfId="64" applyNumberFormat="1" applyFont="1" applyFill="1" applyBorder="1" applyAlignment="1">
      <alignment horizontal="right" indent="1"/>
    </xf>
    <xf numFmtId="0" fontId="48" fillId="0" borderId="94" xfId="64" applyFont="1" applyBorder="1" applyAlignment="1">
      <alignment horizontal="center"/>
    </xf>
    <xf numFmtId="0" fontId="48" fillId="0" borderId="94" xfId="64" applyFont="1" applyBorder="1" applyAlignment="1">
      <alignment horizontal="right" indent="2"/>
    </xf>
    <xf numFmtId="0" fontId="48" fillId="0" borderId="94" xfId="64" applyFont="1" applyFill="1" applyBorder="1" applyAlignment="1">
      <alignment horizontal="right" indent="1"/>
    </xf>
    <xf numFmtId="0" fontId="48" fillId="0" borderId="0" xfId="64" applyFont="1" applyBorder="1" applyAlignment="1">
      <alignment horizontal="center"/>
    </xf>
    <xf numFmtId="0" fontId="48" fillId="0" borderId="0" xfId="64" applyFont="1" applyBorder="1" applyAlignment="1">
      <alignment horizontal="right" indent="2"/>
    </xf>
    <xf numFmtId="0" fontId="48" fillId="0" borderId="0" xfId="64" applyFont="1" applyFill="1" applyBorder="1" applyAlignment="1">
      <alignment horizontal="right" indent="1"/>
    </xf>
    <xf numFmtId="39" fontId="44" fillId="0" borderId="94" xfId="49" applyNumberFormat="1" applyFont="1" applyBorder="1" applyAlignment="1">
      <alignment horizontal="center"/>
    </xf>
    <xf numFmtId="44" fontId="44" fillId="0" borderId="94" xfId="49" applyFont="1" applyBorder="1" applyAlignment="1">
      <alignment horizontal="right" indent="2"/>
    </xf>
    <xf numFmtId="39" fontId="44" fillId="0" borderId="94" xfId="49" applyNumberFormat="1" applyFont="1" applyFill="1" applyBorder="1" applyAlignment="1">
      <alignment horizontal="right" wrapText="1" indent="1"/>
    </xf>
    <xf numFmtId="39" fontId="0" fillId="0" borderId="93" xfId="64" applyNumberFormat="1" applyFont="1" applyBorder="1" applyAlignment="1">
      <alignment/>
    </xf>
    <xf numFmtId="170" fontId="0" fillId="0" borderId="0" xfId="64" applyNumberFormat="1" applyFont="1" applyAlignment="1">
      <alignment/>
    </xf>
    <xf numFmtId="169" fontId="44" fillId="0" borderId="0" xfId="64" applyNumberFormat="1" applyFont="1" applyFill="1" applyBorder="1" applyAlignment="1">
      <alignment horizontal="center" wrapText="1"/>
    </xf>
    <xf numFmtId="185" fontId="45" fillId="0" borderId="0" xfId="64" applyNumberFormat="1" applyFont="1" applyFill="1" applyBorder="1" applyAlignment="1">
      <alignment horizontal="center" wrapText="1"/>
    </xf>
    <xf numFmtId="0" fontId="44" fillId="0" borderId="96" xfId="64" applyFont="1" applyFill="1" applyBorder="1" applyAlignment="1">
      <alignment wrapText="1"/>
    </xf>
    <xf numFmtId="3" fontId="44" fillId="0" borderId="0" xfId="64" applyNumberFormat="1" applyFont="1" applyFill="1" applyBorder="1" applyAlignment="1">
      <alignment horizontal="center" shrinkToFit="1"/>
    </xf>
    <xf numFmtId="0" fontId="44" fillId="0" borderId="96" xfId="64" applyFont="1" applyBorder="1" applyAlignment="1">
      <alignment/>
    </xf>
    <xf numFmtId="169" fontId="44" fillId="0" borderId="97" xfId="64" applyNumberFormat="1" applyFont="1" applyFill="1" applyBorder="1" applyAlignment="1">
      <alignment horizontal="right" wrapText="1"/>
    </xf>
    <xf numFmtId="1" fontId="49" fillId="0" borderId="0" xfId="67" applyNumberFormat="1">
      <alignment/>
      <protection/>
    </xf>
    <xf numFmtId="1" fontId="0" fillId="0" borderId="0" xfId="64" applyNumberFormat="1" applyAlignment="1">
      <alignment/>
    </xf>
    <xf numFmtId="0" fontId="2" fillId="0" borderId="0" xfId="64" applyFont="1" applyFill="1" applyBorder="1" applyAlignment="1">
      <alignment/>
    </xf>
    <xf numFmtId="0" fontId="44" fillId="0" borderId="0" xfId="64" applyFont="1" applyBorder="1" applyAlignment="1">
      <alignment/>
    </xf>
    <xf numFmtId="9" fontId="44" fillId="0" borderId="0" xfId="64" applyNumberFormat="1" applyFont="1" applyFill="1" applyBorder="1" applyAlignment="1">
      <alignment wrapText="1"/>
    </xf>
    <xf numFmtId="0" fontId="47" fillId="0" borderId="0" xfId="64" applyFont="1" applyBorder="1" applyAlignment="1">
      <alignment horizontal="left"/>
    </xf>
    <xf numFmtId="0" fontId="0" fillId="0" borderId="0" xfId="64" applyBorder="1" applyAlignment="1">
      <alignment/>
    </xf>
    <xf numFmtId="0" fontId="47" fillId="0" borderId="0" xfId="64" applyFont="1" applyBorder="1" applyAlignment="1">
      <alignment/>
    </xf>
    <xf numFmtId="0" fontId="0" fillId="0" borderId="98" xfId="64" applyFont="1" applyBorder="1" applyAlignment="1">
      <alignment/>
    </xf>
    <xf numFmtId="0" fontId="47" fillId="0" borderId="99" xfId="64" applyFont="1" applyBorder="1" applyAlignment="1">
      <alignment/>
    </xf>
    <xf numFmtId="0" fontId="0" fillId="0" borderId="99" xfId="64" applyFont="1" applyBorder="1" applyAlignment="1">
      <alignment/>
    </xf>
    <xf numFmtId="0" fontId="0" fillId="0" borderId="100" xfId="64" applyFont="1" applyBorder="1" applyAlignment="1">
      <alignment/>
    </xf>
    <xf numFmtId="172" fontId="45" fillId="0" borderId="0" xfId="77" applyNumberFormat="1" applyFont="1" applyFill="1" applyBorder="1" applyAlignment="1">
      <alignment horizontal="right" wrapText="1"/>
    </xf>
    <xf numFmtId="0" fontId="53" fillId="0" borderId="0" xfId="73" applyFont="1">
      <alignment/>
      <protection/>
    </xf>
    <xf numFmtId="170" fontId="0" fillId="0" borderId="0" xfId="0" applyNumberFormat="1" applyFont="1" applyFill="1" applyBorder="1" applyAlignment="1">
      <alignment vertical="center"/>
    </xf>
    <xf numFmtId="186" fontId="0" fillId="0" borderId="0" xfId="46" applyNumberFormat="1" applyFont="1" applyBorder="1" applyAlignment="1">
      <alignment/>
    </xf>
    <xf numFmtId="172" fontId="0" fillId="0" borderId="0" xfId="0" applyNumberFormat="1" applyBorder="1" applyAlignment="1">
      <alignment/>
    </xf>
    <xf numFmtId="172" fontId="0" fillId="0" borderId="36" xfId="0" applyNumberFormat="1" applyBorder="1" applyAlignment="1">
      <alignment/>
    </xf>
    <xf numFmtId="0" fontId="0" fillId="0" borderId="0" xfId="0" applyFont="1" applyBorder="1" applyAlignment="1">
      <alignment vertical="top" wrapText="1"/>
    </xf>
    <xf numFmtId="0" fontId="7" fillId="34" borderId="16" xfId="0" applyFont="1" applyFill="1" applyBorder="1" applyAlignment="1">
      <alignment horizontal="center" vertical="center" wrapText="1"/>
    </xf>
    <xf numFmtId="0" fontId="7" fillId="34" borderId="14" xfId="0" applyFont="1" applyFill="1" applyBorder="1" applyAlignment="1">
      <alignment horizontal="center" vertical="center" wrapText="1"/>
    </xf>
    <xf numFmtId="0" fontId="7" fillId="34" borderId="101" xfId="0" applyFont="1" applyFill="1" applyBorder="1" applyAlignment="1">
      <alignment horizontal="center" vertical="center" wrapText="1"/>
    </xf>
    <xf numFmtId="0" fontId="7" fillId="34" borderId="102" xfId="0" applyFont="1" applyFill="1" applyBorder="1" applyAlignment="1">
      <alignment horizontal="center" vertical="center" wrapText="1"/>
    </xf>
    <xf numFmtId="0" fontId="7" fillId="34" borderId="103" xfId="0" applyFont="1" applyFill="1" applyBorder="1" applyAlignment="1">
      <alignment horizontal="center" vertical="center" wrapText="1"/>
    </xf>
    <xf numFmtId="0" fontId="7" fillId="34" borderId="104"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7" fillId="34" borderId="105" xfId="0" applyFont="1" applyFill="1" applyBorder="1" applyAlignment="1">
      <alignment horizontal="center" vertical="center" wrapText="1"/>
    </xf>
    <xf numFmtId="0" fontId="7" fillId="34" borderId="106" xfId="0" applyFont="1" applyFill="1" applyBorder="1" applyAlignment="1">
      <alignment horizontal="center" vertical="center" wrapText="1"/>
    </xf>
    <xf numFmtId="0" fontId="5" fillId="0" borderId="0" xfId="0" applyFont="1" applyAlignment="1">
      <alignment horizontal="center"/>
    </xf>
    <xf numFmtId="0" fontId="0" fillId="0" borderId="0" xfId="0" applyAlignment="1">
      <alignment horizontal="center"/>
    </xf>
    <xf numFmtId="0" fontId="15" fillId="0" borderId="0" xfId="0" applyFont="1" applyAlignment="1">
      <alignment horizontal="center"/>
    </xf>
    <xf numFmtId="0" fontId="0" fillId="0" borderId="0" xfId="63" applyFill="1" applyBorder="1" applyAlignment="1">
      <alignment wrapText="1"/>
      <protection/>
    </xf>
    <xf numFmtId="0" fontId="0" fillId="0" borderId="0" xfId="0" applyAlignment="1">
      <alignment wrapText="1"/>
    </xf>
    <xf numFmtId="0" fontId="0" fillId="0" borderId="0" xfId="63" applyNumberFormat="1" applyFill="1" applyBorder="1" applyAlignment="1">
      <alignment wrapText="1"/>
      <protection/>
    </xf>
    <xf numFmtId="0" fontId="0" fillId="0" borderId="0" xfId="63" applyNumberFormat="1" applyFill="1" applyBorder="1" applyAlignment="1">
      <alignment horizontal="left" wrapText="1"/>
      <protection/>
    </xf>
    <xf numFmtId="0" fontId="0" fillId="0" borderId="0" xfId="71" applyNumberFormat="1" applyFont="1" applyBorder="1" applyAlignment="1">
      <alignment horizontal="left" wrapText="1"/>
      <protection/>
    </xf>
    <xf numFmtId="0" fontId="0" fillId="0" borderId="107" xfId="0" applyFont="1" applyBorder="1" applyAlignment="1">
      <alignment horizontal="left" vertical="center" wrapText="1"/>
    </xf>
    <xf numFmtId="0" fontId="0" fillId="0" borderId="108" xfId="0" applyFont="1" applyBorder="1" applyAlignment="1">
      <alignment horizontal="left" vertical="center" wrapText="1"/>
    </xf>
    <xf numFmtId="0" fontId="0" fillId="0" borderId="109" xfId="0" applyFont="1" applyBorder="1" applyAlignment="1">
      <alignment horizontal="left" vertical="center" wrapText="1"/>
    </xf>
    <xf numFmtId="0" fontId="0" fillId="0" borderId="0" xfId="63" applyFont="1" applyFill="1" applyBorder="1" applyAlignment="1">
      <alignment vertical="top" wrapText="1"/>
      <protection/>
    </xf>
    <xf numFmtId="0" fontId="0" fillId="0" borderId="0" xfId="0" applyAlignment="1">
      <alignment/>
    </xf>
    <xf numFmtId="0" fontId="109" fillId="0" borderId="85" xfId="0" applyFont="1" applyBorder="1" applyAlignment="1">
      <alignment vertical="center" wrapText="1"/>
    </xf>
    <xf numFmtId="0" fontId="109" fillId="0" borderId="110" xfId="0" applyFont="1" applyBorder="1" applyAlignment="1">
      <alignment wrapText="1"/>
    </xf>
    <xf numFmtId="0" fontId="109" fillId="0" borderId="111" xfId="0" applyFont="1" applyBorder="1" applyAlignment="1">
      <alignment wrapText="1"/>
    </xf>
    <xf numFmtId="0" fontId="5" fillId="0" borderId="112" xfId="63" applyFont="1" applyBorder="1" applyAlignment="1">
      <alignment horizontal="left" vertical="center" wrapText="1"/>
      <protection/>
    </xf>
    <xf numFmtId="0" fontId="5" fillId="0" borderId="113" xfId="0" applyFont="1" applyBorder="1" applyAlignment="1">
      <alignment horizontal="left" vertical="center" wrapText="1"/>
    </xf>
    <xf numFmtId="0" fontId="5" fillId="0" borderId="114" xfId="0" applyFont="1" applyBorder="1" applyAlignment="1">
      <alignment horizontal="left" vertical="center" wrapText="1"/>
    </xf>
    <xf numFmtId="0" fontId="0" fillId="0" borderId="0" xfId="0" applyBorder="1" applyAlignment="1">
      <alignment horizontal="left" vertical="top"/>
    </xf>
    <xf numFmtId="0" fontId="0" fillId="0" borderId="0" xfId="0" applyAlignment="1">
      <alignment horizontal="left" wrapText="1"/>
    </xf>
    <xf numFmtId="0" fontId="20" fillId="0" borderId="35" xfId="0" applyFont="1" applyBorder="1" applyAlignment="1">
      <alignment horizontal="left" vertical="center"/>
    </xf>
    <xf numFmtId="0" fontId="20" fillId="0" borderId="67" xfId="0" applyFont="1" applyBorder="1" applyAlignment="1">
      <alignment horizontal="left" vertical="center"/>
    </xf>
    <xf numFmtId="0" fontId="5" fillId="0" borderId="0" xfId="0" applyFont="1" applyAlignment="1">
      <alignment horizontal="left" vertical="center" wrapText="1"/>
    </xf>
    <xf numFmtId="0" fontId="5" fillId="0" borderId="0" xfId="0" applyFont="1" applyFill="1" applyAlignment="1">
      <alignment horizontal="left" vertical="center" wrapText="1"/>
    </xf>
    <xf numFmtId="0" fontId="20" fillId="0" borderId="88" xfId="0" applyFont="1" applyBorder="1" applyAlignment="1">
      <alignment horizontal="center"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171" fontId="112" fillId="0" borderId="0" xfId="0" applyNumberFormat="1" applyFont="1" applyFill="1" applyBorder="1" applyAlignment="1">
      <alignment horizontal="center" vertical="center"/>
    </xf>
    <xf numFmtId="0" fontId="15" fillId="0" borderId="0" xfId="64" applyFont="1" applyFill="1" applyBorder="1" applyAlignment="1">
      <alignment horizontal="right"/>
    </xf>
    <xf numFmtId="0" fontId="80" fillId="0" borderId="0" xfId="66" applyAlignment="1">
      <alignment horizontal="right"/>
      <protection/>
    </xf>
    <xf numFmtId="0" fontId="20" fillId="0" borderId="0" xfId="64" applyFont="1" applyFill="1" applyBorder="1" applyAlignment="1">
      <alignment horizontal="center" vertical="center"/>
    </xf>
    <xf numFmtId="0" fontId="10" fillId="0" borderId="0" xfId="64" applyFont="1" applyBorder="1" applyAlignment="1">
      <alignment horizontal="center" vertical="center"/>
    </xf>
    <xf numFmtId="0" fontId="45" fillId="0" borderId="94" xfId="64" applyFont="1" applyFill="1" applyBorder="1" applyAlignment="1">
      <alignment horizontal="center" wrapText="1"/>
    </xf>
    <xf numFmtId="0" fontId="24" fillId="38" borderId="0" xfId="72" applyFont="1" applyFill="1" applyBorder="1" applyAlignment="1">
      <alignment horizontal="left" vertical="top"/>
      <protection/>
    </xf>
    <xf numFmtId="0" fontId="25" fillId="38" borderId="0" xfId="72" applyFont="1" applyFill="1" applyBorder="1" applyAlignment="1">
      <alignment horizontal="center" vertical="center"/>
      <protection/>
    </xf>
    <xf numFmtId="0" fontId="0" fillId="0" borderId="115" xfId="63" applyFont="1" applyBorder="1" applyAlignment="1">
      <alignment horizontal="center" wrapText="1"/>
      <protection/>
    </xf>
    <xf numFmtId="0" fontId="0" fillId="0" borderId="116" xfId="63" applyBorder="1" applyAlignment="1">
      <alignment horizontal="center" wrapText="1"/>
      <protection/>
    </xf>
    <xf numFmtId="0" fontId="0" fillId="0" borderId="117" xfId="63" applyBorder="1" applyAlignment="1">
      <alignment horizontal="center" wrapText="1"/>
      <protection/>
    </xf>
    <xf numFmtId="0" fontId="23" fillId="38" borderId="0" xfId="72" applyFont="1" applyFill="1" applyBorder="1" applyAlignment="1">
      <alignment horizontal="center" vertical="center" wrapText="1"/>
      <protection/>
    </xf>
    <xf numFmtId="0" fontId="23" fillId="38" borderId="0" xfId="72" applyFont="1" applyFill="1" applyBorder="1" applyAlignment="1">
      <alignment horizontal="center" vertical="center"/>
      <protection/>
    </xf>
    <xf numFmtId="0" fontId="25" fillId="38" borderId="0" xfId="72" applyFont="1" applyFill="1" applyBorder="1" applyAlignment="1">
      <alignment horizontal="center" vertical="center" wrapText="1"/>
      <protection/>
    </xf>
    <xf numFmtId="0" fontId="27" fillId="0" borderId="20" xfId="63" applyFont="1" applyBorder="1" applyAlignment="1">
      <alignment horizontal="center"/>
      <protection/>
    </xf>
    <xf numFmtId="0" fontId="27" fillId="0" borderId="21" xfId="63" applyFont="1" applyBorder="1" applyAlignment="1">
      <alignment horizontal="center"/>
      <protection/>
    </xf>
    <xf numFmtId="0" fontId="27" fillId="0" borderId="22" xfId="63" applyFont="1" applyBorder="1" applyAlignment="1">
      <alignment horizontal="center"/>
      <protection/>
    </xf>
    <xf numFmtId="0" fontId="27" fillId="0" borderId="23" xfId="63" applyFont="1" applyBorder="1" applyAlignment="1">
      <alignment horizontal="center"/>
      <protection/>
    </xf>
    <xf numFmtId="0" fontId="27" fillId="0" borderId="24" xfId="63" applyFont="1" applyBorder="1" applyAlignment="1">
      <alignment horizontal="center"/>
      <protection/>
    </xf>
    <xf numFmtId="0" fontId="27" fillId="0" borderId="25" xfId="63" applyFont="1" applyBorder="1" applyAlignment="1">
      <alignment horizontal="center"/>
      <protection/>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3" xfId="45"/>
    <cellStyle name="Currency" xfId="46"/>
    <cellStyle name="Currency [0]" xfId="47"/>
    <cellStyle name="Currency 2" xfId="48"/>
    <cellStyle name="Currency 2 2" xfId="49"/>
    <cellStyle name="Explanatory Text" xfId="50"/>
    <cellStyle name="Good" xfId="51"/>
    <cellStyle name="Heading 1" xfId="52"/>
    <cellStyle name="Heading 2" xfId="53"/>
    <cellStyle name="Heading 3" xfId="54"/>
    <cellStyle name="Heading 4" xfId="55"/>
    <cellStyle name="Hyperlink" xfId="56"/>
    <cellStyle name="Input" xfId="57"/>
    <cellStyle name="Linked Cell" xfId="58"/>
    <cellStyle name="Millares 2" xfId="59"/>
    <cellStyle name="Millares 3" xfId="60"/>
    <cellStyle name="Moneda 2" xfId="61"/>
    <cellStyle name="Neutral" xfId="62"/>
    <cellStyle name="Normal 2" xfId="63"/>
    <cellStyle name="Normal 2 2" xfId="64"/>
    <cellStyle name="Normal 2 2 2" xfId="65"/>
    <cellStyle name="Normal 3" xfId="66"/>
    <cellStyle name="Normal 3 2" xfId="67"/>
    <cellStyle name="Normal 4" xfId="68"/>
    <cellStyle name="Normal 5" xfId="69"/>
    <cellStyle name="Normal 6" xfId="70"/>
    <cellStyle name="Normal_ConsolidatedAg_IM_Clean" xfId="71"/>
    <cellStyle name="Normal_Hoja1" xfId="72"/>
    <cellStyle name="Normal_Mongolia Health ERR.IM Cleaned - v15" xfId="73"/>
    <cellStyle name="Note" xfId="74"/>
    <cellStyle name="Output" xfId="75"/>
    <cellStyle name="Percent" xfId="76"/>
    <cellStyle name="Percent 2" xfId="77"/>
    <cellStyle name="Percent 2 3" xfId="78"/>
    <cellStyle name="Percent 3" xfId="79"/>
    <cellStyle name="Porcentual 2" xfId="80"/>
    <cellStyle name="Porcentual 3" xfId="81"/>
    <cellStyle name="Title" xfId="82"/>
    <cellStyle name="Total" xfId="83"/>
    <cellStyle name="Warning Text" xfId="84"/>
  </cellStyles>
  <dxfs count="6">
    <dxf>
      <font>
        <color indexed="10"/>
      </font>
    </dxf>
    <dxf>
      <font>
        <color indexed="9"/>
      </font>
      <fill>
        <patternFill patternType="none">
          <bgColor indexed="65"/>
        </patternFill>
      </fill>
    </dxf>
    <dxf>
      <font>
        <color indexed="10"/>
      </font>
    </dxf>
    <dxf>
      <font>
        <color indexed="9"/>
      </font>
      <fill>
        <patternFill patternType="none">
          <bgColor indexed="65"/>
        </patternFill>
      </fill>
    </dxf>
    <dxf>
      <font>
        <color indexed="10"/>
      </font>
    </dxf>
    <dxf>
      <font>
        <color indexed="9"/>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No 1
Hogares Sin Cobertura de Servicios Básicos, 2004</a:t>
            </a:r>
          </a:p>
        </c:rich>
      </c:tx>
      <c:layout/>
      <c:spPr>
        <a:noFill/>
        <a:ln w="3175">
          <a:noFill/>
        </a:ln>
      </c:spPr>
    </c:title>
    <c:plotArea>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dLbl>
              <c:idx val="0"/>
              <c:txPr>
                <a:bodyPr vert="horz" rot="0" anchor="ctr"/>
                <a:lstStyle/>
                <a:p>
                  <a:pPr algn="ctr">
                    <a:defRPr lang="en-US" cap="none" sz="150" b="0" i="0" u="none" baseline="0">
                      <a:solidFill>
                        <a:srgbClr val="000000"/>
                      </a:solidFill>
                      <a:latin typeface="Arial"/>
                      <a:ea typeface="Arial"/>
                      <a:cs typeface="Arial"/>
                    </a:defRPr>
                  </a:pPr>
                </a:p>
              </c:txPr>
              <c:numFmt formatCode="General" sourceLinked="1"/>
              <c:spPr>
                <a:noFill/>
                <a:ln w="3175">
                  <a:noFill/>
                </a:ln>
              </c:spPr>
              <c:dLblPos val="r"/>
              <c:showLegendKey val="0"/>
              <c:showVal val="1"/>
              <c:showBubbleSize val="0"/>
              <c:showCatName val="0"/>
              <c:showSerName val="0"/>
              <c:showPercent val="0"/>
            </c:dLbl>
            <c:dLbl>
              <c:idx val="1"/>
              <c:txPr>
                <a:bodyPr vert="horz" rot="0" anchor="ctr"/>
                <a:lstStyle/>
                <a:p>
                  <a:pPr algn="ctr">
                    <a:defRPr lang="en-US" cap="none" sz="150" b="0" i="0" u="none" baseline="0">
                      <a:solidFill>
                        <a:srgbClr val="000000"/>
                      </a:solidFill>
                      <a:latin typeface="Arial"/>
                      <a:ea typeface="Arial"/>
                      <a:cs typeface="Arial"/>
                    </a:defRPr>
                  </a:pPr>
                </a:p>
              </c:txPr>
              <c:numFmt formatCode="General" sourceLinked="1"/>
              <c:spPr>
                <a:noFill/>
                <a:ln w="3175">
                  <a:noFill/>
                </a:ln>
              </c:spPr>
              <c:dLblPos val="r"/>
              <c:showLegendKey val="0"/>
              <c:showVal val="1"/>
              <c:showBubbleSize val="0"/>
              <c:showCatName val="0"/>
              <c:showSerName val="0"/>
              <c:showPercent val="0"/>
            </c:dLbl>
            <c:dLbl>
              <c:idx val="2"/>
              <c:txPr>
                <a:bodyPr vert="horz" rot="0" anchor="ctr"/>
                <a:lstStyle/>
                <a:p>
                  <a:pPr algn="ctr">
                    <a:defRPr lang="en-US" cap="none" sz="150" b="0" i="0" u="none" baseline="0">
                      <a:solidFill>
                        <a:srgbClr val="000000"/>
                      </a:solidFill>
                      <a:latin typeface="Arial"/>
                      <a:ea typeface="Arial"/>
                      <a:cs typeface="Arial"/>
                    </a:defRPr>
                  </a:pPr>
                </a:p>
              </c:txPr>
              <c:numFmt formatCode="General" sourceLinked="1"/>
              <c:spPr>
                <a:noFill/>
                <a:ln w="3175">
                  <a:noFill/>
                </a:ln>
              </c:spPr>
              <c:dLblPos val="r"/>
              <c:showLegendKey val="0"/>
              <c:showVal val="1"/>
              <c:showBubbleSize val="0"/>
              <c:showCatName val="0"/>
              <c:showSerName val="0"/>
              <c:showPercent val="0"/>
            </c:dLbl>
            <c:dLbl>
              <c:idx val="3"/>
              <c:txPr>
                <a:bodyPr vert="horz" rot="0" anchor="ctr"/>
                <a:lstStyle/>
                <a:p>
                  <a:pPr algn="ctr">
                    <a:defRPr lang="en-US" cap="none" sz="150" b="0" i="0" u="none" baseline="0">
                      <a:solidFill>
                        <a:srgbClr val="000000"/>
                      </a:solidFill>
                      <a:latin typeface="Arial"/>
                      <a:ea typeface="Arial"/>
                      <a:cs typeface="Aria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smooth val="0"/>
        </c:ser>
        <c:ser>
          <c:idx val="1"/>
          <c:order val="1"/>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00"/>
              </a:solidFill>
              <a:ln>
                <a:solidFill>
                  <a:srgbClr val="FF0000"/>
                </a:solidFill>
              </a:ln>
            </c:spPr>
          </c:marker>
          <c:dLbls>
            <c:dLbl>
              <c:idx val="0"/>
              <c:txPr>
                <a:bodyPr vert="horz" rot="0" anchor="ctr"/>
                <a:lstStyle/>
                <a:p>
                  <a:pPr algn="ctr">
                    <a:defRPr lang="en-US" cap="none" sz="150" b="0" i="0" u="none" baseline="0">
                      <a:solidFill>
                        <a:srgbClr val="000000"/>
                      </a:solidFill>
                      <a:latin typeface="Arial"/>
                      <a:ea typeface="Arial"/>
                      <a:cs typeface="Arial"/>
                    </a:defRPr>
                  </a:pPr>
                </a:p>
              </c:txPr>
              <c:numFmt formatCode="General" sourceLinked="1"/>
              <c:spPr>
                <a:noFill/>
                <a:ln w="3175">
                  <a:noFill/>
                </a:ln>
              </c:spPr>
              <c:dLblPos val="r"/>
              <c:showLegendKey val="0"/>
              <c:showVal val="1"/>
              <c:showBubbleSize val="0"/>
              <c:showCatName val="0"/>
              <c:showSerName val="0"/>
              <c:showPercent val="0"/>
            </c:dLbl>
            <c:dLbl>
              <c:idx val="1"/>
              <c:txPr>
                <a:bodyPr vert="horz" rot="0" anchor="ctr"/>
                <a:lstStyle/>
                <a:p>
                  <a:pPr algn="ctr">
                    <a:defRPr lang="en-US" cap="none" sz="150" b="0" i="0" u="none" baseline="0">
                      <a:solidFill>
                        <a:srgbClr val="000000"/>
                      </a:solidFill>
                      <a:latin typeface="Arial"/>
                      <a:ea typeface="Arial"/>
                      <a:cs typeface="Arial"/>
                    </a:defRPr>
                  </a:pPr>
                </a:p>
              </c:txPr>
              <c:numFmt formatCode="General" sourceLinked="1"/>
              <c:spPr>
                <a:noFill/>
                <a:ln w="3175">
                  <a:noFill/>
                </a:ln>
              </c:spPr>
              <c:dLblPos val="r"/>
              <c:showLegendKey val="0"/>
              <c:showVal val="1"/>
              <c:showBubbleSize val="0"/>
              <c:showCatName val="0"/>
              <c:showSerName val="0"/>
              <c:showPercent val="0"/>
            </c:dLbl>
            <c:dLbl>
              <c:idx val="2"/>
              <c:txPr>
                <a:bodyPr vert="horz" rot="0" anchor="ctr"/>
                <a:lstStyle/>
                <a:p>
                  <a:pPr algn="ctr">
                    <a:defRPr lang="en-US" cap="none" sz="150" b="0" i="0" u="none" baseline="0">
                      <a:solidFill>
                        <a:srgbClr val="000000"/>
                      </a:solidFill>
                      <a:latin typeface="Arial"/>
                      <a:ea typeface="Arial"/>
                      <a:cs typeface="Arial"/>
                    </a:defRPr>
                  </a:pPr>
                </a:p>
              </c:txPr>
              <c:numFmt formatCode="General" sourceLinked="1"/>
              <c:spPr>
                <a:noFill/>
                <a:ln w="3175">
                  <a:noFill/>
                </a:ln>
              </c:spPr>
              <c:dLblPos val="r"/>
              <c:showLegendKey val="0"/>
              <c:showVal val="1"/>
              <c:showBubbleSize val="0"/>
              <c:showCatName val="0"/>
              <c:showSerName val="0"/>
              <c:showPercent val="0"/>
            </c:dLbl>
            <c:dLbl>
              <c:idx val="3"/>
              <c:txPr>
                <a:bodyPr vert="horz" rot="0" anchor="ctr"/>
                <a:lstStyle/>
                <a:p>
                  <a:pPr algn="ctr">
                    <a:defRPr lang="en-US" cap="none" sz="150" b="0" i="0" u="none" baseline="0">
                      <a:solidFill>
                        <a:srgbClr val="000000"/>
                      </a:solidFill>
                      <a:latin typeface="Arial"/>
                      <a:ea typeface="Arial"/>
                      <a:cs typeface="Arial"/>
                    </a:defRPr>
                  </a:pPr>
                </a:p>
              </c:txPr>
              <c:numFmt formatCode="General" sourceLinked="1"/>
              <c:spPr>
                <a:noFill/>
                <a:ln w="3175">
                  <a:noFill/>
                </a:ln>
              </c:spPr>
              <c:dLblPos val="r"/>
              <c:showLegendKey val="0"/>
              <c:showVal val="1"/>
              <c:showBubbleSize val="0"/>
              <c:showCatName val="0"/>
              <c:showSerName val="0"/>
              <c:showPercent val="0"/>
            </c:dLbl>
            <c:dLbl>
              <c:idx val="4"/>
              <c:txPr>
                <a:bodyPr vert="horz" rot="0" anchor="ctr"/>
                <a:lstStyle/>
                <a:p>
                  <a:pPr algn="ctr">
                    <a:defRPr lang="en-US" cap="none" sz="150" b="0" i="0" u="none" baseline="0">
                      <a:solidFill>
                        <a:srgbClr val="000000"/>
                      </a:solidFill>
                      <a:latin typeface="Arial"/>
                      <a:ea typeface="Arial"/>
                      <a:cs typeface="Aria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smooth val="0"/>
        </c:ser>
        <c:ser>
          <c:idx val="2"/>
          <c:order val="2"/>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FFFF00"/>
              </a:solidFill>
              <a:ln>
                <a:solidFill>
                  <a:srgbClr val="FFFF00"/>
                </a:solidFill>
              </a:ln>
            </c:spPr>
          </c:marker>
          <c:dLbls>
            <c:dLbl>
              <c:idx val="0"/>
              <c:txPr>
                <a:bodyPr vert="horz" rot="0" anchor="ctr"/>
                <a:lstStyle/>
                <a:p>
                  <a:pPr algn="ctr">
                    <a:defRPr lang="en-US" cap="none" sz="150" b="0" i="0" u="none" baseline="0">
                      <a:solidFill>
                        <a:srgbClr val="000000"/>
                      </a:solidFill>
                      <a:latin typeface="Arial"/>
                      <a:ea typeface="Arial"/>
                      <a:cs typeface="Arial"/>
                    </a:defRPr>
                  </a:pPr>
                </a:p>
              </c:txPr>
              <c:numFmt formatCode="General" sourceLinked="1"/>
              <c:spPr>
                <a:noFill/>
                <a:ln w="3175">
                  <a:noFill/>
                </a:ln>
              </c:spPr>
              <c:dLblPos val="r"/>
              <c:showLegendKey val="0"/>
              <c:showVal val="1"/>
              <c:showBubbleSize val="0"/>
              <c:showCatName val="0"/>
              <c:showSerName val="0"/>
              <c:showPercent val="0"/>
            </c:dLbl>
            <c:dLbl>
              <c:idx val="1"/>
              <c:txPr>
                <a:bodyPr vert="horz" rot="0" anchor="ctr"/>
                <a:lstStyle/>
                <a:p>
                  <a:pPr algn="ctr">
                    <a:defRPr lang="en-US" cap="none" sz="150" b="0" i="0" u="none" baseline="0">
                      <a:solidFill>
                        <a:srgbClr val="000000"/>
                      </a:solidFill>
                      <a:latin typeface="Arial"/>
                      <a:ea typeface="Arial"/>
                      <a:cs typeface="Arial"/>
                    </a:defRPr>
                  </a:pPr>
                </a:p>
              </c:txPr>
              <c:numFmt formatCode="General" sourceLinked="1"/>
              <c:spPr>
                <a:noFill/>
                <a:ln w="3175">
                  <a:noFill/>
                </a:ln>
              </c:spPr>
              <c:dLblPos val="r"/>
              <c:showLegendKey val="0"/>
              <c:showVal val="1"/>
              <c:showBubbleSize val="0"/>
              <c:showCatName val="0"/>
              <c:showSerName val="0"/>
              <c:showPercent val="0"/>
            </c:dLbl>
            <c:dLbl>
              <c:idx val="2"/>
              <c:txPr>
                <a:bodyPr vert="horz" rot="0" anchor="ctr"/>
                <a:lstStyle/>
                <a:p>
                  <a:pPr algn="ctr">
                    <a:defRPr lang="en-US" cap="none" sz="150" b="0" i="0" u="none" baseline="0">
                      <a:solidFill>
                        <a:srgbClr val="000000"/>
                      </a:solidFill>
                      <a:latin typeface="Arial"/>
                      <a:ea typeface="Arial"/>
                      <a:cs typeface="Arial"/>
                    </a:defRPr>
                  </a:pPr>
                </a:p>
              </c:txPr>
              <c:numFmt formatCode="General" sourceLinked="1"/>
              <c:spPr>
                <a:noFill/>
                <a:ln w="3175">
                  <a:noFill/>
                </a:ln>
              </c:spPr>
              <c:dLblPos val="r"/>
              <c:showLegendKey val="0"/>
              <c:showVal val="1"/>
              <c:showBubbleSize val="0"/>
              <c:showCatName val="0"/>
              <c:showSerName val="0"/>
              <c:showPercent val="0"/>
            </c:dLbl>
            <c:dLbl>
              <c:idx val="3"/>
              <c:txPr>
                <a:bodyPr vert="horz" rot="0" anchor="ctr"/>
                <a:lstStyle/>
                <a:p>
                  <a:pPr algn="ctr">
                    <a:defRPr lang="en-US" cap="none" sz="150" b="0" i="0" u="none" baseline="0">
                      <a:solidFill>
                        <a:srgbClr val="000000"/>
                      </a:solidFill>
                      <a:latin typeface="Arial"/>
                      <a:ea typeface="Arial"/>
                      <a:cs typeface="Aria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smooth val="0"/>
        </c:ser>
        <c:marker val="1"/>
        <c:axId val="63799688"/>
        <c:axId val="39176969"/>
      </c:lineChart>
      <c:catAx>
        <c:axId val="63799688"/>
        <c:scaling>
          <c:orientation val="minMax"/>
        </c:scaling>
        <c:axPos val="b"/>
        <c:title>
          <c:tx>
            <c:rich>
              <a:bodyPr vert="horz" rot="0" anchor="ctr"/>
              <a:lstStyle/>
              <a:p>
                <a:pPr algn="ctr">
                  <a:defRPr/>
                </a:pPr>
                <a:r>
                  <a:rPr lang="en-US" cap="none" sz="100" b="1" i="0" u="none" baseline="0">
                    <a:solidFill>
                      <a:srgbClr val="000000"/>
                    </a:solidFill>
                    <a:latin typeface="Arial"/>
                    <a:ea typeface="Arial"/>
                    <a:cs typeface="Arial"/>
                  </a:rPr>
                  <a:t>Municipios</a:t>
                </a:r>
              </a:p>
            </c:rich>
          </c:tx>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39176969"/>
        <c:crosses val="autoZero"/>
        <c:auto val="1"/>
        <c:lblOffset val="100"/>
        <c:tickLblSkip val="1"/>
        <c:noMultiLvlLbl val="0"/>
      </c:catAx>
      <c:valAx>
        <c:axId val="39176969"/>
        <c:scaling>
          <c:orientation val="minMax"/>
          <c:max val="45"/>
        </c:scaling>
        <c:axPos val="l"/>
        <c:title>
          <c:tx>
            <c:rich>
              <a:bodyPr vert="horz" rot="0" anchor="ctr"/>
              <a:lstStyle/>
              <a:p>
                <a:pPr algn="ctr">
                  <a:defRPr/>
                </a:pPr>
                <a:r>
                  <a:rPr lang="en-US" cap="none" sz="150" b="1" i="0" u="none" baseline="0">
                    <a:solidFill>
                      <a:srgbClr val="000000"/>
                    </a:solidFill>
                    <a:latin typeface="Arial"/>
                    <a:ea typeface="Arial"/>
                    <a:cs typeface="Arial"/>
                  </a:rPr>
                  <a:t>(%)</a:t>
                </a:r>
              </a:p>
            </c:rich>
          </c:tx>
          <c:layout/>
          <c:overlay val="0"/>
          <c:spPr>
            <a:noFill/>
            <a:ln w="3175">
              <a:noFill/>
            </a:ln>
          </c:spPr>
        </c:title>
        <c:majorGridlines>
          <c:spPr>
            <a:ln w="3175">
              <a:solidFill>
                <a:srgbClr val="000000"/>
              </a:solidFill>
              <a:prstDash val="sysDot"/>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63799688"/>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No 2
Hogares Con Agua, según Tipo de Infraestructura, 2004</a:t>
            </a:r>
          </a:p>
        </c:rich>
      </c:tx>
      <c:layout/>
      <c:spPr>
        <a:noFill/>
        <a:ln w="3175">
          <a:noFill/>
        </a:ln>
      </c:spPr>
    </c:title>
    <c:plotArea>
      <c:layout/>
      <c:barChart>
        <c:barDir val="col"/>
        <c:grouping val="stack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ser>
        <c:ser>
          <c:idx val="2"/>
          <c:order val="1"/>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ser>
        <c:ser>
          <c:idx val="1"/>
          <c:order val="2"/>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ser>
        <c:overlap val="100"/>
        <c:axId val="40623290"/>
        <c:axId val="44384155"/>
      </c:barChart>
      <c:catAx>
        <c:axId val="40623290"/>
        <c:scaling>
          <c:orientation val="minMax"/>
        </c:scaling>
        <c:axPos val="b"/>
        <c:title>
          <c:tx>
            <c:rich>
              <a:bodyPr vert="horz" rot="0" anchor="ctr"/>
              <a:lstStyle/>
              <a:p>
                <a:pPr algn="ctr">
                  <a:defRPr/>
                </a:pPr>
                <a:r>
                  <a:rPr lang="en-US" cap="none" sz="100" b="1" i="0" u="none" baseline="0">
                    <a:solidFill>
                      <a:srgbClr val="000000"/>
                    </a:solidFill>
                    <a:latin typeface="Arial"/>
                    <a:ea typeface="Arial"/>
                    <a:cs typeface="Arial"/>
                  </a:rPr>
                  <a:t>Municipios</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44384155"/>
        <c:crosses val="autoZero"/>
        <c:auto val="1"/>
        <c:lblOffset val="100"/>
        <c:tickLblSkip val="1"/>
        <c:noMultiLvlLbl val="0"/>
      </c:catAx>
      <c:valAx>
        <c:axId val="44384155"/>
        <c:scaling>
          <c:orientation val="minMax"/>
        </c:scaling>
        <c:axPos val="l"/>
        <c:title>
          <c:tx>
            <c:rich>
              <a:bodyPr vert="horz" rot="0" anchor="ctr"/>
              <a:lstStyle/>
              <a:p>
                <a:pPr algn="ctr">
                  <a:defRPr/>
                </a:pPr>
                <a:r>
                  <a:rPr lang="en-US" cap="none" sz="100" b="1" i="0" u="none" baseline="0">
                    <a:solidFill>
                      <a:srgbClr val="000000"/>
                    </a:solidFill>
                    <a:latin typeface="Arial"/>
                    <a:ea typeface="Arial"/>
                    <a:cs typeface="Arial"/>
                  </a:rPr>
                  <a:t>(%)</a:t>
                </a:r>
              </a:p>
            </c:rich>
          </c:tx>
          <c:layout/>
          <c:overlay val="0"/>
          <c:spPr>
            <a:noFill/>
            <a:ln w="3175">
              <a:noFill/>
            </a:ln>
          </c:spPr>
        </c:title>
        <c:majorGridlines>
          <c:spPr>
            <a:ln w="3175">
              <a:solidFill>
                <a:srgbClr val="000000"/>
              </a:solidFill>
              <a:prstDash val="sysDot"/>
            </a:ln>
          </c:spPr>
        </c:majorGridlines>
        <c:delete val="0"/>
        <c:numFmt formatCode="#,##0;-#,##0" sourceLinked="0"/>
        <c:majorTickMark val="out"/>
        <c:minorTickMark val="none"/>
        <c:tickLblPos val="nextTo"/>
        <c:spPr>
          <a:ln w="3175">
            <a:solidFill>
              <a:srgbClr val="000000"/>
            </a:solidFill>
          </a:ln>
        </c:spPr>
        <c:crossAx val="40623290"/>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5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No 2
Hogares Con Agua, según Tipo de Infraestructura, 2004</a:t>
            </a:r>
          </a:p>
        </c:rich>
      </c:tx>
      <c:layout/>
      <c:spPr>
        <a:noFill/>
        <a:ln w="3175">
          <a:noFill/>
        </a:ln>
      </c:spPr>
    </c:title>
    <c:plotArea>
      <c:layout/>
      <c:barChart>
        <c:barDir val="col"/>
        <c:grouping val="stack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ser>
        <c:ser>
          <c:idx val="2"/>
          <c:order val="1"/>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ser>
        <c:ser>
          <c:idx val="1"/>
          <c:order val="2"/>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ser>
        <c:overlap val="100"/>
        <c:axId val="27339948"/>
        <c:axId val="64589037"/>
      </c:barChart>
      <c:catAx>
        <c:axId val="27339948"/>
        <c:scaling>
          <c:orientation val="minMax"/>
        </c:scaling>
        <c:axPos val="b"/>
        <c:title>
          <c:tx>
            <c:rich>
              <a:bodyPr vert="horz" rot="0" anchor="ctr"/>
              <a:lstStyle/>
              <a:p>
                <a:pPr algn="ctr">
                  <a:defRPr/>
                </a:pPr>
                <a:r>
                  <a:rPr lang="en-US" cap="none" sz="100" b="1" i="0" u="none" baseline="0">
                    <a:solidFill>
                      <a:srgbClr val="000000"/>
                    </a:solidFill>
                    <a:latin typeface="Arial"/>
                    <a:ea typeface="Arial"/>
                    <a:cs typeface="Arial"/>
                  </a:rPr>
                  <a:t>Municipios</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64589037"/>
        <c:crosses val="autoZero"/>
        <c:auto val="1"/>
        <c:lblOffset val="100"/>
        <c:tickLblSkip val="1"/>
        <c:noMultiLvlLbl val="0"/>
      </c:catAx>
      <c:valAx>
        <c:axId val="64589037"/>
        <c:scaling>
          <c:orientation val="minMax"/>
          <c:max val="100"/>
        </c:scaling>
        <c:axPos val="l"/>
        <c:title>
          <c:tx>
            <c:rich>
              <a:bodyPr vert="horz" rot="0" anchor="ctr"/>
              <a:lstStyle/>
              <a:p>
                <a:pPr algn="ctr">
                  <a:defRPr/>
                </a:pPr>
                <a:r>
                  <a:rPr lang="en-US" cap="none" sz="100" b="1" i="0" u="none" baseline="0">
                    <a:solidFill>
                      <a:srgbClr val="000000"/>
                    </a:solidFill>
                    <a:latin typeface="Arial"/>
                    <a:ea typeface="Arial"/>
                    <a:cs typeface="Arial"/>
                  </a:rPr>
                  <a:t>(%)</a:t>
                </a:r>
              </a:p>
            </c:rich>
          </c:tx>
          <c:layout/>
          <c:overlay val="0"/>
          <c:spPr>
            <a:noFill/>
            <a:ln w="3175">
              <a:noFill/>
            </a:ln>
          </c:spPr>
        </c:title>
        <c:majorGridlines>
          <c:spPr>
            <a:ln w="3175">
              <a:solidFill>
                <a:srgbClr val="000000"/>
              </a:solidFill>
              <a:prstDash val="sysDot"/>
            </a:ln>
          </c:spPr>
        </c:majorGridlines>
        <c:delete val="0"/>
        <c:numFmt formatCode="#,##0;-#,##0" sourceLinked="0"/>
        <c:majorTickMark val="out"/>
        <c:minorTickMark val="none"/>
        <c:tickLblPos val="nextTo"/>
        <c:spPr>
          <a:ln w="3175">
            <a:solidFill>
              <a:srgbClr val="000000"/>
            </a:solidFill>
          </a:ln>
        </c:spPr>
        <c:crossAx val="27339948"/>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5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No 3
Hogares Con Saneamiento, según Tipo de Infraestructura, 2004</a:t>
            </a:r>
          </a:p>
        </c:rich>
      </c:tx>
      <c:layout/>
      <c:spPr>
        <a:noFill/>
        <a:ln w="3175">
          <a:noFill/>
        </a:ln>
      </c:spPr>
    </c:title>
    <c:plotArea>
      <c:layout/>
      <c:barChart>
        <c:barDir val="col"/>
        <c:grouping val="stacked"/>
        <c:varyColors val="0"/>
        <c:ser>
          <c:idx val="1"/>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ser>
        <c:ser>
          <c:idx val="0"/>
          <c:order val="1"/>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ser>
        <c:ser>
          <c:idx val="2"/>
          <c:order val="2"/>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ser>
        <c:overlap val="100"/>
        <c:axId val="10746206"/>
        <c:axId val="56802047"/>
      </c:barChart>
      <c:catAx>
        <c:axId val="10746206"/>
        <c:scaling>
          <c:orientation val="minMax"/>
        </c:scaling>
        <c:axPos val="b"/>
        <c:title>
          <c:tx>
            <c:rich>
              <a:bodyPr vert="horz" rot="0" anchor="ctr"/>
              <a:lstStyle/>
              <a:p>
                <a:pPr algn="ctr">
                  <a:defRPr/>
                </a:pPr>
                <a:r>
                  <a:rPr lang="en-US" cap="none" sz="100" b="1" i="0" u="none" baseline="0">
                    <a:solidFill>
                      <a:srgbClr val="000000"/>
                    </a:solidFill>
                    <a:latin typeface="Arial"/>
                    <a:ea typeface="Arial"/>
                    <a:cs typeface="Arial"/>
                  </a:rPr>
                  <a:t>Municipio</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56802047"/>
        <c:crosses val="autoZero"/>
        <c:auto val="1"/>
        <c:lblOffset val="100"/>
        <c:tickLblSkip val="1"/>
        <c:noMultiLvlLbl val="0"/>
      </c:catAx>
      <c:valAx>
        <c:axId val="56802047"/>
        <c:scaling>
          <c:orientation val="minMax"/>
          <c:max val="100"/>
        </c:scaling>
        <c:axPos val="l"/>
        <c:title>
          <c:tx>
            <c:rich>
              <a:bodyPr vert="horz" rot="0" anchor="ctr"/>
              <a:lstStyle/>
              <a:p>
                <a:pPr algn="ctr">
                  <a:defRPr/>
                </a:pPr>
                <a:r>
                  <a:rPr lang="en-US" cap="none" sz="100" b="1" i="0" u="none" baseline="0">
                    <a:solidFill>
                      <a:srgbClr val="000000"/>
                    </a:solidFill>
                    <a:latin typeface="Arial"/>
                    <a:ea typeface="Arial"/>
                    <a:cs typeface="Arial"/>
                  </a:rPr>
                  <a:t>(%)</a:t>
                </a:r>
              </a:p>
            </c:rich>
          </c:tx>
          <c:layout/>
          <c:overlay val="0"/>
          <c:spPr>
            <a:noFill/>
            <a:ln w="3175">
              <a:noFill/>
            </a:ln>
          </c:spPr>
        </c:title>
        <c:majorGridlines>
          <c:spPr>
            <a:ln w="3175">
              <a:solidFill>
                <a:srgbClr val="000000"/>
              </a:solidFill>
              <a:prstDash val="sysDot"/>
            </a:ln>
          </c:spPr>
        </c:majorGridlines>
        <c:delete val="0"/>
        <c:numFmt formatCode="#,##0;-#,##0" sourceLinked="0"/>
        <c:majorTickMark val="out"/>
        <c:minorTickMark val="none"/>
        <c:tickLblPos val="nextTo"/>
        <c:spPr>
          <a:ln w="3175">
            <a:solidFill>
              <a:srgbClr val="000000"/>
            </a:solidFill>
          </a:ln>
        </c:spPr>
        <c:crossAx val="10746206"/>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No 3
Hogares Con Saneamiento, según Tipo de Infraestructura, 2004</a:t>
            </a:r>
          </a:p>
        </c:rich>
      </c:tx>
      <c:layout/>
      <c:spPr>
        <a:noFill/>
        <a:ln w="3175">
          <a:noFill/>
        </a:ln>
      </c:spPr>
    </c:title>
    <c:plotArea>
      <c:layout/>
      <c:barChart>
        <c:barDir val="col"/>
        <c:grouping val="stacked"/>
        <c:varyColors val="0"/>
        <c:ser>
          <c:idx val="1"/>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ser>
        <c:ser>
          <c:idx val="0"/>
          <c:order val="1"/>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ser>
        <c:ser>
          <c:idx val="2"/>
          <c:order val="2"/>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ser>
        <c:overlap val="100"/>
        <c:axId val="31836880"/>
        <c:axId val="16503249"/>
      </c:barChart>
      <c:catAx>
        <c:axId val="31836880"/>
        <c:scaling>
          <c:orientation val="minMax"/>
        </c:scaling>
        <c:axPos val="b"/>
        <c:title>
          <c:tx>
            <c:rich>
              <a:bodyPr vert="horz" rot="0" anchor="ctr"/>
              <a:lstStyle/>
              <a:p>
                <a:pPr algn="ctr">
                  <a:defRPr/>
                </a:pPr>
                <a:r>
                  <a:rPr lang="en-US" cap="none" sz="100" b="1" i="0" u="none" baseline="0">
                    <a:solidFill>
                      <a:srgbClr val="000000"/>
                    </a:solidFill>
                    <a:latin typeface="Arial"/>
                    <a:ea typeface="Arial"/>
                    <a:cs typeface="Arial"/>
                  </a:rPr>
                  <a:t>Municipio</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16503249"/>
        <c:crosses val="autoZero"/>
        <c:auto val="1"/>
        <c:lblOffset val="100"/>
        <c:tickLblSkip val="1"/>
        <c:noMultiLvlLbl val="0"/>
      </c:catAx>
      <c:valAx>
        <c:axId val="16503249"/>
        <c:scaling>
          <c:orientation val="minMax"/>
          <c:max val="100"/>
        </c:scaling>
        <c:axPos val="l"/>
        <c:title>
          <c:tx>
            <c:rich>
              <a:bodyPr vert="horz" rot="0" anchor="ctr"/>
              <a:lstStyle/>
              <a:p>
                <a:pPr algn="ctr">
                  <a:defRPr/>
                </a:pPr>
                <a:r>
                  <a:rPr lang="en-US" cap="none" sz="100" b="1" i="0" u="none" baseline="0">
                    <a:solidFill>
                      <a:srgbClr val="000000"/>
                    </a:solidFill>
                    <a:latin typeface="Arial"/>
                    <a:ea typeface="Arial"/>
                    <a:cs typeface="Arial"/>
                  </a:rPr>
                  <a:t>(%)</a:t>
                </a:r>
              </a:p>
            </c:rich>
          </c:tx>
          <c:layout/>
          <c:overlay val="0"/>
          <c:spPr>
            <a:noFill/>
            <a:ln w="3175">
              <a:noFill/>
            </a:ln>
          </c:spPr>
        </c:title>
        <c:majorGridlines>
          <c:spPr>
            <a:ln w="3175">
              <a:solidFill>
                <a:srgbClr val="000000"/>
              </a:solidFill>
              <a:prstDash val="sysDot"/>
            </a:ln>
          </c:spPr>
        </c:majorGridlines>
        <c:delete val="0"/>
        <c:numFmt formatCode="#,##0;-#,##0" sourceLinked="0"/>
        <c:majorTickMark val="out"/>
        <c:minorTickMark val="none"/>
        <c:tickLblPos val="nextTo"/>
        <c:spPr>
          <a:ln w="3175">
            <a:solidFill>
              <a:srgbClr val="000000"/>
            </a:solidFill>
          </a:ln>
        </c:spPr>
        <c:crossAx val="31836880"/>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No 4
Hogares Con Electricidad, según Tipo de Conexión, 2004</a:t>
            </a:r>
          </a:p>
        </c:rich>
      </c:tx>
      <c:layout/>
      <c:spPr>
        <a:noFill/>
        <a:ln w="3175">
          <a:noFill/>
        </a:ln>
      </c:spPr>
    </c:title>
    <c:plotArea>
      <c:layout/>
      <c:barChart>
        <c:barDir val="col"/>
        <c:grouping val="stack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25" b="1" i="0" u="none" baseline="0">
                    <a:solidFill>
                      <a:srgbClr val="000000"/>
                    </a:solidFill>
                    <a:latin typeface="Arial"/>
                    <a:ea typeface="Arial"/>
                    <a:cs typeface="Arial"/>
                  </a:defRPr>
                </a:pPr>
              </a:p>
            </c:txPr>
            <c:showLegendKey val="0"/>
            <c:showVal val="1"/>
            <c:showBubbleSize val="0"/>
            <c:showCatName val="0"/>
            <c:showSerName val="0"/>
            <c:showPercent val="0"/>
          </c:dLbls>
        </c:ser>
        <c:ser>
          <c:idx val="1"/>
          <c:order val="1"/>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25" b="1" i="0" u="none" baseline="0">
                    <a:solidFill>
                      <a:srgbClr val="000000"/>
                    </a:solidFill>
                    <a:latin typeface="Arial"/>
                    <a:ea typeface="Arial"/>
                    <a:cs typeface="Arial"/>
                  </a:defRPr>
                </a:pPr>
              </a:p>
            </c:txPr>
            <c:showLegendKey val="0"/>
            <c:showVal val="1"/>
            <c:showBubbleSize val="0"/>
            <c:showCatName val="0"/>
            <c:showSerName val="0"/>
            <c:showPercent val="0"/>
          </c:dLbls>
        </c:ser>
        <c:overlap val="100"/>
        <c:axId val="3352834"/>
        <c:axId val="30071139"/>
      </c:barChart>
      <c:catAx>
        <c:axId val="3352834"/>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Municipio</a:t>
                </a:r>
              </a:p>
            </c:rich>
          </c:tx>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30071139"/>
        <c:crosses val="autoZero"/>
        <c:auto val="1"/>
        <c:lblOffset val="100"/>
        <c:tickLblSkip val="1"/>
        <c:noMultiLvlLbl val="0"/>
      </c:catAx>
      <c:valAx>
        <c:axId val="30071139"/>
        <c:scaling>
          <c:orientation val="minMax"/>
        </c:scaling>
        <c:axPos val="l"/>
        <c:title>
          <c:tx>
            <c:rich>
              <a:bodyPr vert="horz" rot="0" anchor="ctr"/>
              <a:lstStyle/>
              <a:p>
                <a:pPr algn="ctr">
                  <a:defRPr/>
                </a:pPr>
                <a:r>
                  <a:rPr lang="en-US" cap="none" sz="125" b="1" i="0" u="none" baseline="0">
                    <a:solidFill>
                      <a:srgbClr val="000000"/>
                    </a:solidFill>
                    <a:latin typeface="Arial"/>
                    <a:ea typeface="Arial"/>
                    <a:cs typeface="Arial"/>
                  </a:rPr>
                  <a:t>(%)</a:t>
                </a:r>
              </a:p>
            </c:rich>
          </c:tx>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3352834"/>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No 4
Hogares Con Electricidad, según Tipo de Conexión, 2004</a:t>
            </a:r>
          </a:p>
        </c:rich>
      </c:tx>
      <c:layout/>
      <c:spPr>
        <a:noFill/>
        <a:ln w="3175">
          <a:noFill/>
        </a:ln>
      </c:spPr>
    </c:title>
    <c:plotArea>
      <c:layout/>
      <c:barChart>
        <c:barDir val="col"/>
        <c:grouping val="stack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ser>
        <c:ser>
          <c:idx val="1"/>
          <c:order val="1"/>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ser>
        <c:overlap val="100"/>
        <c:axId val="64199668"/>
        <c:axId val="58775989"/>
      </c:barChart>
      <c:catAx>
        <c:axId val="64199668"/>
        <c:scaling>
          <c:orientation val="minMax"/>
        </c:scaling>
        <c:axPos val="b"/>
        <c:title>
          <c:tx>
            <c:rich>
              <a:bodyPr vert="horz" rot="0" anchor="ctr"/>
              <a:lstStyle/>
              <a:p>
                <a:pPr algn="ctr">
                  <a:defRPr/>
                </a:pPr>
                <a:r>
                  <a:rPr lang="en-US" cap="none" sz="100" b="1" i="0" u="none" baseline="0">
                    <a:solidFill>
                      <a:srgbClr val="000000"/>
                    </a:solidFill>
                    <a:latin typeface="Arial"/>
                    <a:ea typeface="Arial"/>
                    <a:cs typeface="Arial"/>
                  </a:rPr>
                  <a:t>Municipio</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58775989"/>
        <c:crosses val="autoZero"/>
        <c:auto val="1"/>
        <c:lblOffset val="100"/>
        <c:tickLblSkip val="1"/>
        <c:noMultiLvlLbl val="0"/>
      </c:catAx>
      <c:valAx>
        <c:axId val="58775989"/>
        <c:scaling>
          <c:orientation val="minMax"/>
          <c:max val="100"/>
          <c:min val="0"/>
        </c:scaling>
        <c:axPos val="l"/>
        <c:title>
          <c:tx>
            <c:rich>
              <a:bodyPr vert="horz" rot="0" anchor="ctr"/>
              <a:lstStyle/>
              <a:p>
                <a:pPr algn="ctr">
                  <a:defRPr/>
                </a:pPr>
                <a:r>
                  <a:rPr lang="en-US" cap="none" sz="100" b="1" i="0" u="none" baseline="0">
                    <a:solidFill>
                      <a:srgbClr val="000000"/>
                    </a:solidFill>
                    <a:latin typeface="Arial"/>
                    <a:ea typeface="Arial"/>
                    <a:cs typeface="Arial"/>
                  </a:rPr>
                  <a:t>(%)</a:t>
                </a:r>
              </a:p>
            </c:rich>
          </c:tx>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64199668"/>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Undiscounted Annual Net Benefits of Informal Education Project</a:t>
            </a:r>
          </a:p>
        </c:rich>
      </c:tx>
      <c:layout>
        <c:manualLayout>
          <c:xMode val="factor"/>
          <c:yMode val="factor"/>
          <c:x val="-0.022"/>
          <c:y val="-0.00275"/>
        </c:manualLayout>
      </c:layout>
      <c:spPr>
        <a:noFill/>
        <a:ln w="3175">
          <a:noFill/>
        </a:ln>
      </c:spPr>
    </c:title>
    <c:plotArea>
      <c:layout>
        <c:manualLayout>
          <c:xMode val="edge"/>
          <c:yMode val="edge"/>
          <c:x val="0.04775"/>
          <c:y val="0.144"/>
          <c:w val="0.9225"/>
          <c:h val="0.76"/>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'Cost Benefit Summary'!$D$52:$W$52</c:f>
              <c:numCache>
                <c:ptCount val="20"/>
                <c:pt idx="0">
                  <c:v>0</c:v>
                </c:pt>
                <c:pt idx="1">
                  <c:v>-314.40149457891573</c:v>
                </c:pt>
                <c:pt idx="2">
                  <c:v>-1198.3858587763848</c:v>
                </c:pt>
                <c:pt idx="3">
                  <c:v>-892.3531013789826</c:v>
                </c:pt>
                <c:pt idx="4">
                  <c:v>-810.5263012406456</c:v>
                </c:pt>
                <c:pt idx="5">
                  <c:v>554.97552476184</c:v>
                </c:pt>
                <c:pt idx="6">
                  <c:v>554.97552476184</c:v>
                </c:pt>
                <c:pt idx="7">
                  <c:v>554.97552476184</c:v>
                </c:pt>
                <c:pt idx="8">
                  <c:v>554.97552476184</c:v>
                </c:pt>
                <c:pt idx="9">
                  <c:v>554.97552476184</c:v>
                </c:pt>
                <c:pt idx="10">
                  <c:v>554.97552476184</c:v>
                </c:pt>
                <c:pt idx="11">
                  <c:v>554.97552476184</c:v>
                </c:pt>
                <c:pt idx="12">
                  <c:v>554.97552476184</c:v>
                </c:pt>
                <c:pt idx="13">
                  <c:v>554.97552476184</c:v>
                </c:pt>
                <c:pt idx="14">
                  <c:v>554.97552476184</c:v>
                </c:pt>
                <c:pt idx="15">
                  <c:v>554.97552476184</c:v>
                </c:pt>
                <c:pt idx="16">
                  <c:v>554.97552476184</c:v>
                </c:pt>
                <c:pt idx="17">
                  <c:v>554.97552476184</c:v>
                </c:pt>
                <c:pt idx="18">
                  <c:v>554.97552476184</c:v>
                </c:pt>
                <c:pt idx="19">
                  <c:v>554.97552476184</c:v>
                </c:pt>
              </c:numCache>
            </c:numRef>
          </c:val>
        </c:ser>
        <c:gapWidth val="0"/>
        <c:axId val="61451174"/>
        <c:axId val="58317511"/>
      </c:barChart>
      <c:catAx>
        <c:axId val="6145117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Year</a:t>
                </a:r>
              </a:p>
            </c:rich>
          </c:tx>
          <c:layout>
            <c:manualLayout>
              <c:xMode val="factor"/>
              <c:yMode val="factor"/>
              <c:x val="0.00625"/>
              <c:y val="0.001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58317511"/>
        <c:crosses val="autoZero"/>
        <c:auto val="1"/>
        <c:lblOffset val="100"/>
        <c:tickLblSkip val="1"/>
        <c:noMultiLvlLbl val="0"/>
      </c:catAx>
      <c:valAx>
        <c:axId val="5831751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Thousands US$</a:t>
                </a:r>
              </a:p>
            </c:rich>
          </c:tx>
          <c:layout>
            <c:manualLayout>
              <c:xMode val="factor"/>
              <c:yMode val="factor"/>
              <c:x val="-0.01625"/>
              <c:y val="-0.003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1451174"/>
        <c:crossesAt val="1"/>
        <c:crossBetween val="between"/>
        <c:dispUnits/>
      </c:valAx>
      <c:spPr>
        <a:noFill/>
        <a:ln w="12700">
          <a:solidFill>
            <a:srgbClr val="80808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image" Target="../media/image4.png" /></Relationships>
</file>

<file path=xl/drawings/_rels/drawing11.xml.rels><?xml version="1.0" encoding="utf-8" standalone="yes"?><Relationships xmlns="http://schemas.openxmlformats.org/package/2006/relationships"><Relationship Id="rId1" Type="http://schemas.openxmlformats.org/officeDocument/2006/relationships/image" Target="../media/image5.png" /></Relationships>
</file>

<file path=xl/drawings/_rels/drawing12.xml.rels><?xml version="1.0" encoding="utf-8" standalone="yes"?><Relationships xmlns="http://schemas.openxmlformats.org/package/2006/relationships"><Relationship Id="rId1" Type="http://schemas.openxmlformats.org/officeDocument/2006/relationships/image" Target="../media/image6.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8.xml" /><Relationship Id="rId3" Type="http://schemas.openxmlformats.org/officeDocument/2006/relationships/image" Target="../media/image3.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0.241</cdr:x>
      <cdr:y>0.3135</cdr:y>
    </cdr:from>
    <cdr:to>
      <cdr:x>0.27325</cdr:x>
      <cdr:y>0.35125</cdr:y>
    </cdr:to>
    <cdr:sp fLocksText="0">
      <cdr:nvSpPr>
        <cdr:cNvPr id="1" name="Text Box 1"/>
        <cdr:cNvSpPr txBox="1">
          <a:spLocks noChangeArrowheads="1"/>
        </cdr:cNvSpPr>
      </cdr:nvSpPr>
      <cdr:spPr>
        <a:xfrm>
          <a:off x="0" y="885825"/>
          <a:ext cx="0" cy="1047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0.241</cdr:x>
      <cdr:y>0.3135</cdr:y>
    </cdr:from>
    <cdr:to>
      <cdr:x>0.28075</cdr:x>
      <cdr:y>0.352</cdr:y>
    </cdr:to>
    <cdr:sp>
      <cdr:nvSpPr>
        <cdr:cNvPr id="2" name="Text Box 2"/>
        <cdr:cNvSpPr txBox="1">
          <a:spLocks noChangeArrowheads="1"/>
        </cdr:cNvSpPr>
      </cdr:nvSpPr>
      <cdr:spPr>
        <a:xfrm>
          <a:off x="0" y="885825"/>
          <a:ext cx="0" cy="104775"/>
        </a:xfrm>
        <a:prstGeom prst="rect">
          <a:avLst/>
        </a:prstGeom>
        <a:noFill/>
        <a:ln w="9525" cmpd="sng">
          <a:noFill/>
        </a:ln>
      </cdr:spPr>
      <cdr:txBody>
        <a:bodyPr vertOverflow="clip" wrap="square" lIns="18288" tIns="18288" rIns="0" bIns="0"/>
        <a:p>
          <a:pPr algn="l">
            <a:defRPr/>
          </a:pPr>
          <a:r>
            <a:rPr lang="en-US" cap="none" sz="100" b="1" i="0" u="none" baseline="0">
              <a:solidFill>
                <a:srgbClr val="000000"/>
              </a:solidFill>
              <a:latin typeface="Arial"/>
              <a:ea typeface="Arial"/>
              <a:cs typeface="Arial"/>
            </a:rPr>
            <a:t>68.1</a:t>
          </a:r>
        </a:p>
      </cdr:txBody>
    </cdr:sp>
  </cdr:relSizeAnchor>
  <cdr:relSizeAnchor xmlns:cdr="http://schemas.openxmlformats.org/drawingml/2006/chartDrawing">
    <cdr:from>
      <cdr:x>0.3655</cdr:x>
      <cdr:y>0.3135</cdr:y>
    </cdr:from>
    <cdr:to>
      <cdr:x>0.387</cdr:x>
      <cdr:y>0.352</cdr:y>
    </cdr:to>
    <cdr:sp>
      <cdr:nvSpPr>
        <cdr:cNvPr id="3" name="Text Box 3"/>
        <cdr:cNvSpPr txBox="1">
          <a:spLocks noChangeArrowheads="1"/>
        </cdr:cNvSpPr>
      </cdr:nvSpPr>
      <cdr:spPr>
        <a:xfrm>
          <a:off x="0" y="885825"/>
          <a:ext cx="0" cy="104775"/>
        </a:xfrm>
        <a:prstGeom prst="rect">
          <a:avLst/>
        </a:prstGeom>
        <a:noFill/>
        <a:ln w="9525" cmpd="sng">
          <a:noFill/>
        </a:ln>
      </cdr:spPr>
      <cdr:txBody>
        <a:bodyPr vertOverflow="clip" wrap="square" lIns="18288" tIns="18288" rIns="0" bIns="0"/>
        <a:p>
          <a:pPr algn="l">
            <a:defRPr/>
          </a:pPr>
          <a:r>
            <a:rPr lang="en-US" cap="none" sz="100" b="1" i="0" u="none" baseline="0">
              <a:solidFill>
                <a:srgbClr val="000000"/>
              </a:solidFill>
              <a:latin typeface="Arial"/>
              <a:ea typeface="Arial"/>
              <a:cs typeface="Arial"/>
            </a:rPr>
            <a:t>68.6</a:t>
          </a:r>
        </a:p>
      </cdr:txBody>
    </cdr:sp>
  </cdr:relSizeAnchor>
  <cdr:relSizeAnchor xmlns:cdr="http://schemas.openxmlformats.org/drawingml/2006/chartDrawing">
    <cdr:from>
      <cdr:x>0.43875</cdr:x>
      <cdr:y>0.24575</cdr:y>
    </cdr:from>
    <cdr:to>
      <cdr:x>0.4605</cdr:x>
      <cdr:y>0.28275</cdr:y>
    </cdr:to>
    <cdr:sp>
      <cdr:nvSpPr>
        <cdr:cNvPr id="4" name="Text Box 4"/>
        <cdr:cNvSpPr txBox="1">
          <a:spLocks noChangeArrowheads="1"/>
        </cdr:cNvSpPr>
      </cdr:nvSpPr>
      <cdr:spPr>
        <a:xfrm>
          <a:off x="0" y="685800"/>
          <a:ext cx="0" cy="104775"/>
        </a:xfrm>
        <a:prstGeom prst="rect">
          <a:avLst/>
        </a:prstGeom>
        <a:noFill/>
        <a:ln w="9525" cmpd="sng">
          <a:noFill/>
        </a:ln>
      </cdr:spPr>
      <cdr:txBody>
        <a:bodyPr vertOverflow="clip" wrap="square" lIns="18288" tIns="18288" rIns="0" bIns="0"/>
        <a:p>
          <a:pPr algn="l">
            <a:defRPr/>
          </a:pPr>
          <a:r>
            <a:rPr lang="en-US" cap="none" sz="100" b="1" i="0" u="none" baseline="0">
              <a:solidFill>
                <a:srgbClr val="000000"/>
              </a:solidFill>
              <a:latin typeface="Arial"/>
              <a:ea typeface="Arial"/>
              <a:cs typeface="Arial"/>
            </a:rPr>
            <a:t>80.1</a:t>
          </a:r>
        </a:p>
      </cdr:txBody>
    </cdr:sp>
  </cdr:relSizeAnchor>
  <cdr:relSizeAnchor xmlns:cdr="http://schemas.openxmlformats.org/drawingml/2006/chartDrawing">
    <cdr:from>
      <cdr:x>0.56275</cdr:x>
      <cdr:y>0.18225</cdr:y>
    </cdr:from>
    <cdr:to>
      <cdr:x>0.61</cdr:x>
      <cdr:y>0.22</cdr:y>
    </cdr:to>
    <cdr:sp>
      <cdr:nvSpPr>
        <cdr:cNvPr id="5" name="Text Box 5"/>
        <cdr:cNvSpPr txBox="1">
          <a:spLocks noChangeArrowheads="1"/>
        </cdr:cNvSpPr>
      </cdr:nvSpPr>
      <cdr:spPr>
        <a:xfrm>
          <a:off x="0" y="514350"/>
          <a:ext cx="0" cy="104775"/>
        </a:xfrm>
        <a:prstGeom prst="rect">
          <a:avLst/>
        </a:prstGeom>
        <a:noFill/>
        <a:ln w="9525" cmpd="sng">
          <a:noFill/>
        </a:ln>
      </cdr:spPr>
      <cdr:txBody>
        <a:bodyPr vertOverflow="clip" wrap="square" lIns="18288" tIns="18288" rIns="0" bIns="0"/>
        <a:p>
          <a:pPr algn="l">
            <a:defRPr/>
          </a:pPr>
          <a:r>
            <a:rPr lang="en-US" cap="none" sz="100" b="1" i="0" u="none" baseline="0">
              <a:solidFill>
                <a:srgbClr val="000000"/>
              </a:solidFill>
              <a:latin typeface="Arial"/>
              <a:ea typeface="Arial"/>
              <a:cs typeface="Arial"/>
            </a:rPr>
            <a:t>86.1</a:t>
          </a:r>
        </a:p>
      </cdr:txBody>
    </cdr:sp>
  </cdr:relSizeAnchor>
  <cdr:relSizeAnchor xmlns:cdr="http://schemas.openxmlformats.org/drawingml/2006/chartDrawing">
    <cdr:from>
      <cdr:x>0.71675</cdr:x>
      <cdr:y>0.18225</cdr:y>
    </cdr:from>
    <cdr:to>
      <cdr:x>0.76425</cdr:x>
      <cdr:y>0.22</cdr:y>
    </cdr:to>
    <cdr:sp>
      <cdr:nvSpPr>
        <cdr:cNvPr id="6" name="Text Box 6"/>
        <cdr:cNvSpPr txBox="1">
          <a:spLocks noChangeArrowheads="1"/>
        </cdr:cNvSpPr>
      </cdr:nvSpPr>
      <cdr:spPr>
        <a:xfrm>
          <a:off x="0" y="514350"/>
          <a:ext cx="0" cy="104775"/>
        </a:xfrm>
        <a:prstGeom prst="rect">
          <a:avLst/>
        </a:prstGeom>
        <a:noFill/>
        <a:ln w="9525" cmpd="sng">
          <a:noFill/>
        </a:ln>
      </cdr:spPr>
      <cdr:txBody>
        <a:bodyPr vertOverflow="clip" wrap="square" lIns="18288" tIns="18288" rIns="0" bIns="0"/>
        <a:p>
          <a:pPr algn="l">
            <a:defRPr/>
          </a:pPr>
          <a:r>
            <a:rPr lang="en-US" cap="none" sz="100" b="1" i="0" u="none" baseline="0">
              <a:solidFill>
                <a:srgbClr val="000000"/>
              </a:solidFill>
              <a:latin typeface="Arial"/>
              <a:ea typeface="Arial"/>
              <a:cs typeface="Arial"/>
            </a:rPr>
            <a:t>90.6</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95250</xdr:rowOff>
    </xdr:from>
    <xdr:to>
      <xdr:col>12</xdr:col>
      <xdr:colOff>47625</xdr:colOff>
      <xdr:row>1</xdr:row>
      <xdr:rowOff>123825</xdr:rowOff>
    </xdr:to>
    <xdr:pic>
      <xdr:nvPicPr>
        <xdr:cNvPr id="1" name="Picture 1"/>
        <xdr:cNvPicPr preferRelativeResize="1">
          <a:picLocks noChangeAspect="1"/>
        </xdr:cNvPicPr>
      </xdr:nvPicPr>
      <xdr:blipFill>
        <a:blip r:embed="rId1"/>
        <a:stretch>
          <a:fillRect/>
        </a:stretch>
      </xdr:blipFill>
      <xdr:spPr>
        <a:xfrm>
          <a:off x="7753350" y="95250"/>
          <a:ext cx="2400300" cy="1905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2324100</xdr:colOff>
      <xdr:row>0</xdr:row>
      <xdr:rowOff>47625</xdr:rowOff>
    </xdr:from>
    <xdr:to>
      <xdr:col>5</xdr:col>
      <xdr:colOff>552450</xdr:colOff>
      <xdr:row>1</xdr:row>
      <xdr:rowOff>76200</xdr:rowOff>
    </xdr:to>
    <xdr:pic>
      <xdr:nvPicPr>
        <xdr:cNvPr id="1" name="Picture 1"/>
        <xdr:cNvPicPr preferRelativeResize="1">
          <a:picLocks noChangeAspect="1"/>
        </xdr:cNvPicPr>
      </xdr:nvPicPr>
      <xdr:blipFill>
        <a:blip r:embed="rId1"/>
        <a:stretch>
          <a:fillRect/>
        </a:stretch>
      </xdr:blipFill>
      <xdr:spPr>
        <a:xfrm>
          <a:off x="7143750" y="47625"/>
          <a:ext cx="2400300" cy="1905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1</xdr:row>
      <xdr:rowOff>171450</xdr:rowOff>
    </xdr:from>
    <xdr:to>
      <xdr:col>2</xdr:col>
      <xdr:colOff>2562225</xdr:colOff>
      <xdr:row>5</xdr:row>
      <xdr:rowOff>161925</xdr:rowOff>
    </xdr:to>
    <xdr:pic>
      <xdr:nvPicPr>
        <xdr:cNvPr id="1" name="Picture 1"/>
        <xdr:cNvPicPr preferRelativeResize="1">
          <a:picLocks noChangeAspect="1"/>
        </xdr:cNvPicPr>
      </xdr:nvPicPr>
      <xdr:blipFill>
        <a:blip r:embed="rId1"/>
        <a:stretch>
          <a:fillRect/>
        </a:stretch>
      </xdr:blipFill>
      <xdr:spPr>
        <a:xfrm>
          <a:off x="285750" y="361950"/>
          <a:ext cx="2924175" cy="8953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0.24025</cdr:x>
      <cdr:y>0.31275</cdr:y>
    </cdr:from>
    <cdr:to>
      <cdr:x>0.27325</cdr:x>
      <cdr:y>0.35125</cdr:y>
    </cdr:to>
    <cdr:sp fLocksText="0">
      <cdr:nvSpPr>
        <cdr:cNvPr id="1" name="Text Box 1"/>
        <cdr:cNvSpPr txBox="1">
          <a:spLocks noChangeArrowheads="1"/>
        </cdr:cNvSpPr>
      </cdr:nvSpPr>
      <cdr:spPr>
        <a:xfrm>
          <a:off x="0" y="885825"/>
          <a:ext cx="0" cy="1047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0.556</cdr:x>
      <cdr:y>0.0905</cdr:y>
    </cdr:from>
    <cdr:to>
      <cdr:x>0.60725</cdr:x>
      <cdr:y>0.13325</cdr:y>
    </cdr:to>
    <cdr:sp>
      <cdr:nvSpPr>
        <cdr:cNvPr id="1" name="Text Box 1"/>
        <cdr:cNvSpPr txBox="1">
          <a:spLocks noChangeArrowheads="1"/>
        </cdr:cNvSpPr>
      </cdr:nvSpPr>
      <cdr:spPr>
        <a:xfrm>
          <a:off x="0" y="438150"/>
          <a:ext cx="0" cy="209550"/>
        </a:xfrm>
        <a:prstGeom prst="rect">
          <a:avLst/>
        </a:prstGeom>
        <a:noFill/>
        <a:ln w="9525" cmpd="sng">
          <a:noFill/>
        </a:ln>
      </cdr:spPr>
      <cdr:txBody>
        <a:bodyPr vertOverflow="clip" wrap="square" lIns="18288" tIns="18288" rIns="0" bIns="0"/>
        <a:p>
          <a:pPr algn="l">
            <a:defRPr/>
          </a:pPr>
          <a:r>
            <a:rPr lang="en-US" cap="none" sz="100" b="1" i="0" u="none" baseline="0">
              <a:solidFill>
                <a:srgbClr val="000000"/>
              </a:solidFill>
              <a:latin typeface="Arial"/>
              <a:ea typeface="Arial"/>
              <a:cs typeface="Arial"/>
            </a:rPr>
            <a:t>91.8</a:t>
          </a:r>
        </a:p>
      </cdr:txBody>
    </cdr:sp>
  </cdr:relSizeAnchor>
  <cdr:relSizeAnchor xmlns:cdr="http://schemas.openxmlformats.org/drawingml/2006/chartDrawing">
    <cdr:from>
      <cdr:x>0.43325</cdr:x>
      <cdr:y>0.10425</cdr:y>
    </cdr:from>
    <cdr:to>
      <cdr:x>0.45625</cdr:x>
      <cdr:y>0.14775</cdr:y>
    </cdr:to>
    <cdr:sp>
      <cdr:nvSpPr>
        <cdr:cNvPr id="2" name="Text Box 2"/>
        <cdr:cNvSpPr txBox="1">
          <a:spLocks noChangeArrowheads="1"/>
        </cdr:cNvSpPr>
      </cdr:nvSpPr>
      <cdr:spPr>
        <a:xfrm>
          <a:off x="0" y="504825"/>
          <a:ext cx="0" cy="209550"/>
        </a:xfrm>
        <a:prstGeom prst="rect">
          <a:avLst/>
        </a:prstGeom>
        <a:noFill/>
        <a:ln w="9525" cmpd="sng">
          <a:noFill/>
        </a:ln>
      </cdr:spPr>
      <cdr:txBody>
        <a:bodyPr vertOverflow="clip" wrap="square" lIns="18288" tIns="18288" rIns="0" bIns="0"/>
        <a:p>
          <a:pPr algn="l">
            <a:defRPr/>
          </a:pPr>
          <a:r>
            <a:rPr lang="en-US" cap="none" sz="100" b="1" i="0" u="none" baseline="0">
              <a:solidFill>
                <a:srgbClr val="000000"/>
              </a:solidFill>
              <a:latin typeface="Arial"/>
              <a:ea typeface="Arial"/>
              <a:cs typeface="Arial"/>
            </a:rPr>
            <a:t>87.2</a:t>
          </a:r>
        </a:p>
      </cdr:txBody>
    </cdr:sp>
  </cdr:relSizeAnchor>
  <cdr:relSizeAnchor xmlns:cdr="http://schemas.openxmlformats.org/drawingml/2006/chartDrawing">
    <cdr:from>
      <cdr:x>0.345</cdr:x>
      <cdr:y>0.183</cdr:y>
    </cdr:from>
    <cdr:to>
      <cdr:x>0.381</cdr:x>
      <cdr:y>0.2275</cdr:y>
    </cdr:to>
    <cdr:sp>
      <cdr:nvSpPr>
        <cdr:cNvPr id="3" name="Text Box 3"/>
        <cdr:cNvSpPr txBox="1">
          <a:spLocks noChangeArrowheads="1"/>
        </cdr:cNvSpPr>
      </cdr:nvSpPr>
      <cdr:spPr>
        <a:xfrm>
          <a:off x="0" y="885825"/>
          <a:ext cx="0" cy="219075"/>
        </a:xfrm>
        <a:prstGeom prst="rect">
          <a:avLst/>
        </a:prstGeom>
        <a:noFill/>
        <a:ln w="9525" cmpd="sng">
          <a:noFill/>
        </a:ln>
      </cdr:spPr>
      <cdr:txBody>
        <a:bodyPr vertOverflow="clip" wrap="square" lIns="18288" tIns="18288" rIns="0" bIns="0"/>
        <a:p>
          <a:pPr algn="l">
            <a:defRPr/>
          </a:pPr>
          <a:r>
            <a:rPr lang="en-US" cap="none" sz="100" b="1" i="0" u="none" baseline="0">
              <a:solidFill>
                <a:srgbClr val="000000"/>
              </a:solidFill>
              <a:latin typeface="Arial"/>
              <a:ea typeface="Arial"/>
              <a:cs typeface="Arial"/>
            </a:rPr>
            <a:t>80.2</a:t>
          </a:r>
        </a:p>
      </cdr:txBody>
    </cdr:sp>
  </cdr:relSizeAnchor>
  <cdr:relSizeAnchor xmlns:cdr="http://schemas.openxmlformats.org/drawingml/2006/chartDrawing">
    <cdr:from>
      <cdr:x>0.2005</cdr:x>
      <cdr:y>0.25825</cdr:y>
    </cdr:from>
    <cdr:to>
      <cdr:x>0.243</cdr:x>
      <cdr:y>0.30075</cdr:y>
    </cdr:to>
    <cdr:sp>
      <cdr:nvSpPr>
        <cdr:cNvPr id="4" name="Text Box 4"/>
        <cdr:cNvSpPr txBox="1">
          <a:spLocks noChangeArrowheads="1"/>
        </cdr:cNvSpPr>
      </cdr:nvSpPr>
      <cdr:spPr>
        <a:xfrm>
          <a:off x="0" y="1247775"/>
          <a:ext cx="0" cy="209550"/>
        </a:xfrm>
        <a:prstGeom prst="rect">
          <a:avLst/>
        </a:prstGeom>
        <a:noFill/>
        <a:ln w="9525" cmpd="sng">
          <a:noFill/>
        </a:ln>
      </cdr:spPr>
      <cdr:txBody>
        <a:bodyPr vertOverflow="clip" wrap="square" lIns="18288" tIns="18288" rIns="0" bIns="0"/>
        <a:p>
          <a:pPr algn="l">
            <a:defRPr/>
          </a:pPr>
          <a:r>
            <a:rPr lang="en-US" cap="none" sz="100" b="1" i="0" u="none" baseline="0">
              <a:solidFill>
                <a:srgbClr val="000000"/>
              </a:solidFill>
              <a:latin typeface="Arial"/>
              <a:ea typeface="Arial"/>
              <a:cs typeface="Arial"/>
            </a:rPr>
            <a:t>72.41</a:t>
          </a:r>
        </a:p>
      </cdr:txBody>
    </cdr:sp>
  </cdr:relSizeAnchor>
  <cdr:relSizeAnchor xmlns:cdr="http://schemas.openxmlformats.org/drawingml/2006/chartDrawing">
    <cdr:from>
      <cdr:x>0.721</cdr:x>
      <cdr:y>0.07975</cdr:y>
    </cdr:from>
    <cdr:to>
      <cdr:x>0.77225</cdr:x>
      <cdr:y>0.1195</cdr:y>
    </cdr:to>
    <cdr:sp>
      <cdr:nvSpPr>
        <cdr:cNvPr id="5" name="Text Box 5"/>
        <cdr:cNvSpPr txBox="1">
          <a:spLocks noChangeArrowheads="1"/>
        </cdr:cNvSpPr>
      </cdr:nvSpPr>
      <cdr:spPr>
        <a:xfrm>
          <a:off x="0" y="381000"/>
          <a:ext cx="0" cy="190500"/>
        </a:xfrm>
        <a:prstGeom prst="rect">
          <a:avLst/>
        </a:prstGeom>
        <a:noFill/>
        <a:ln w="9525" cmpd="sng">
          <a:noFill/>
        </a:ln>
      </cdr:spPr>
      <cdr:txBody>
        <a:bodyPr vertOverflow="clip" wrap="square" lIns="18288" tIns="18288" rIns="0" bIns="0"/>
        <a:p>
          <a:pPr algn="l">
            <a:defRPr/>
          </a:pPr>
          <a:r>
            <a:rPr lang="en-US" cap="none" sz="100" b="1" i="0" u="none" baseline="0">
              <a:solidFill>
                <a:srgbClr val="000000"/>
              </a:solidFill>
              <a:latin typeface="Arial"/>
              <a:ea typeface="Arial"/>
              <a:cs typeface="Arial"/>
            </a:rPr>
            <a:t>95.2</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0.244</cdr:x>
      <cdr:y>0.34225</cdr:y>
    </cdr:from>
    <cdr:to>
      <cdr:x>0.284</cdr:x>
      <cdr:y>0.3875</cdr:y>
    </cdr:to>
    <cdr:sp>
      <cdr:nvSpPr>
        <cdr:cNvPr id="1" name="Text Box 1"/>
        <cdr:cNvSpPr txBox="1">
          <a:spLocks noChangeArrowheads="1"/>
        </cdr:cNvSpPr>
      </cdr:nvSpPr>
      <cdr:spPr>
        <a:xfrm>
          <a:off x="0" y="1495425"/>
          <a:ext cx="0" cy="200025"/>
        </a:xfrm>
        <a:prstGeom prst="rect">
          <a:avLst/>
        </a:prstGeom>
        <a:noFill/>
        <a:ln w="9525" cmpd="sng">
          <a:noFill/>
        </a:ln>
      </cdr:spPr>
      <cdr:txBody>
        <a:bodyPr vertOverflow="clip" wrap="square" lIns="18288" tIns="18288" rIns="0" bIns="0"/>
        <a:p>
          <a:pPr algn="l">
            <a:defRPr/>
          </a:pPr>
          <a:r>
            <a:rPr lang="en-US" cap="none" sz="100" b="1" i="0" u="none" baseline="0">
              <a:solidFill>
                <a:srgbClr val="000000"/>
              </a:solidFill>
              <a:latin typeface="Arial"/>
              <a:ea typeface="Arial"/>
              <a:cs typeface="Arial"/>
            </a:rPr>
            <a:t>57.1</a:t>
          </a:r>
        </a:p>
      </cdr:txBody>
    </cdr:sp>
  </cdr:relSizeAnchor>
  <cdr:relSizeAnchor xmlns:cdr="http://schemas.openxmlformats.org/drawingml/2006/chartDrawing">
    <cdr:from>
      <cdr:x>0.36725</cdr:x>
      <cdr:y>0.27175</cdr:y>
    </cdr:from>
    <cdr:to>
      <cdr:x>0.389</cdr:x>
      <cdr:y>0.31725</cdr:y>
    </cdr:to>
    <cdr:sp>
      <cdr:nvSpPr>
        <cdr:cNvPr id="2" name="Text Box 2"/>
        <cdr:cNvSpPr txBox="1">
          <a:spLocks noChangeArrowheads="1"/>
        </cdr:cNvSpPr>
      </cdr:nvSpPr>
      <cdr:spPr>
        <a:xfrm>
          <a:off x="0" y="1181100"/>
          <a:ext cx="0" cy="200025"/>
        </a:xfrm>
        <a:prstGeom prst="rect">
          <a:avLst/>
        </a:prstGeom>
        <a:noFill/>
        <a:ln w="9525" cmpd="sng">
          <a:noFill/>
        </a:ln>
      </cdr:spPr>
      <cdr:txBody>
        <a:bodyPr vertOverflow="clip" wrap="square" lIns="18288" tIns="18288" rIns="0" bIns="0"/>
        <a:p>
          <a:pPr algn="l">
            <a:defRPr/>
          </a:pPr>
          <a:r>
            <a:rPr lang="en-US" cap="none" sz="100" b="1" i="0" u="none" baseline="0">
              <a:solidFill>
                <a:srgbClr val="000000"/>
              </a:solidFill>
              <a:latin typeface="Arial"/>
              <a:ea typeface="Arial"/>
              <a:cs typeface="Arial"/>
            </a:rPr>
            <a:t>67.0</a:t>
          </a:r>
        </a:p>
      </cdr:txBody>
    </cdr:sp>
  </cdr:relSizeAnchor>
  <cdr:relSizeAnchor xmlns:cdr="http://schemas.openxmlformats.org/drawingml/2006/chartDrawing">
    <cdr:from>
      <cdr:x>0.438</cdr:x>
      <cdr:y>0.19775</cdr:y>
    </cdr:from>
    <cdr:to>
      <cdr:x>0.4595</cdr:x>
      <cdr:y>0.24325</cdr:y>
    </cdr:to>
    <cdr:sp>
      <cdr:nvSpPr>
        <cdr:cNvPr id="3" name="Text Box 3"/>
        <cdr:cNvSpPr txBox="1">
          <a:spLocks noChangeArrowheads="1"/>
        </cdr:cNvSpPr>
      </cdr:nvSpPr>
      <cdr:spPr>
        <a:xfrm>
          <a:off x="0" y="857250"/>
          <a:ext cx="0" cy="200025"/>
        </a:xfrm>
        <a:prstGeom prst="rect">
          <a:avLst/>
        </a:prstGeom>
        <a:noFill/>
        <a:ln w="9525" cmpd="sng">
          <a:noFill/>
        </a:ln>
      </cdr:spPr>
      <cdr:txBody>
        <a:bodyPr vertOverflow="clip" wrap="square" lIns="18288" tIns="18288" rIns="0" bIns="0"/>
        <a:p>
          <a:pPr algn="l">
            <a:defRPr/>
          </a:pPr>
          <a:r>
            <a:rPr lang="en-US" cap="none" sz="100" b="1" i="0" u="none" baseline="0">
              <a:solidFill>
                <a:srgbClr val="000000"/>
              </a:solidFill>
              <a:latin typeface="Arial"/>
              <a:ea typeface="Arial"/>
              <a:cs typeface="Arial"/>
            </a:rPr>
            <a:t>78.1</a:t>
          </a:r>
        </a:p>
      </cdr:txBody>
    </cdr:sp>
  </cdr:relSizeAnchor>
  <cdr:relSizeAnchor xmlns:cdr="http://schemas.openxmlformats.org/drawingml/2006/chartDrawing">
    <cdr:from>
      <cdr:x>0.57175</cdr:x>
      <cdr:y>0.1275</cdr:y>
    </cdr:from>
    <cdr:to>
      <cdr:x>0.62175</cdr:x>
      <cdr:y>0.17375</cdr:y>
    </cdr:to>
    <cdr:sp>
      <cdr:nvSpPr>
        <cdr:cNvPr id="4" name="Text Box 4"/>
        <cdr:cNvSpPr txBox="1">
          <a:spLocks noChangeArrowheads="1"/>
        </cdr:cNvSpPr>
      </cdr:nvSpPr>
      <cdr:spPr>
        <a:xfrm>
          <a:off x="0" y="552450"/>
          <a:ext cx="0" cy="200025"/>
        </a:xfrm>
        <a:prstGeom prst="rect">
          <a:avLst/>
        </a:prstGeom>
        <a:noFill/>
        <a:ln w="9525" cmpd="sng">
          <a:noFill/>
        </a:ln>
      </cdr:spPr>
      <cdr:txBody>
        <a:bodyPr vertOverflow="clip" wrap="square" lIns="18288" tIns="18288" rIns="0" bIns="0"/>
        <a:p>
          <a:pPr algn="l">
            <a:defRPr/>
          </a:pPr>
          <a:r>
            <a:rPr lang="en-US" cap="none" sz="100" b="1" i="0" u="none" baseline="0">
              <a:solidFill>
                <a:srgbClr val="000000"/>
              </a:solidFill>
              <a:latin typeface="Arial"/>
              <a:ea typeface="Arial"/>
              <a:cs typeface="Arial"/>
            </a:rPr>
            <a:t>86.4</a:t>
          </a:r>
        </a:p>
      </cdr:txBody>
    </cdr:sp>
  </cdr:relSizeAnchor>
  <cdr:relSizeAnchor xmlns:cdr="http://schemas.openxmlformats.org/drawingml/2006/chartDrawing">
    <cdr:from>
      <cdr:x>0.73575</cdr:x>
      <cdr:y>0.11575</cdr:y>
    </cdr:from>
    <cdr:to>
      <cdr:x>0.7835</cdr:x>
      <cdr:y>0.16125</cdr:y>
    </cdr:to>
    <cdr:sp>
      <cdr:nvSpPr>
        <cdr:cNvPr id="5" name="Text Box 5"/>
        <cdr:cNvSpPr txBox="1">
          <a:spLocks noChangeArrowheads="1"/>
        </cdr:cNvSpPr>
      </cdr:nvSpPr>
      <cdr:spPr>
        <a:xfrm>
          <a:off x="0" y="504825"/>
          <a:ext cx="0" cy="200025"/>
        </a:xfrm>
        <a:prstGeom prst="rect">
          <a:avLst/>
        </a:prstGeom>
        <a:noFill/>
        <a:ln w="9525" cmpd="sng">
          <a:noFill/>
        </a:ln>
      </cdr:spPr>
      <cdr:txBody>
        <a:bodyPr vertOverflow="clip" wrap="square" lIns="18288" tIns="18288" rIns="0" bIns="0"/>
        <a:p>
          <a:pPr algn="l">
            <a:defRPr/>
          </a:pPr>
          <a:r>
            <a:rPr lang="en-US" cap="none" sz="100" b="1" i="0" u="none" baseline="0">
              <a:solidFill>
                <a:srgbClr val="000000"/>
              </a:solidFill>
              <a:latin typeface="Arial"/>
              <a:ea typeface="Arial"/>
              <a:cs typeface="Arial"/>
            </a:rPr>
            <a:t>92.31</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66</xdr:col>
      <xdr:colOff>0</xdr:colOff>
      <xdr:row>31</xdr:row>
      <xdr:rowOff>19050</xdr:rowOff>
    </xdr:from>
    <xdr:to>
      <xdr:col>66</xdr:col>
      <xdr:colOff>0</xdr:colOff>
      <xdr:row>56</xdr:row>
      <xdr:rowOff>9525</xdr:rowOff>
    </xdr:to>
    <xdr:graphicFrame>
      <xdr:nvGraphicFramePr>
        <xdr:cNvPr id="1" name="Chart 1"/>
        <xdr:cNvGraphicFramePr/>
      </xdr:nvGraphicFramePr>
      <xdr:xfrm>
        <a:off x="53473350" y="5991225"/>
        <a:ext cx="0" cy="4705350"/>
      </xdr:xfrm>
      <a:graphic>
        <a:graphicData uri="http://schemas.openxmlformats.org/drawingml/2006/chart">
          <c:chart xmlns:c="http://schemas.openxmlformats.org/drawingml/2006/chart" r:id="rId1"/>
        </a:graphicData>
      </a:graphic>
    </xdr:graphicFrame>
    <xdr:clientData/>
  </xdr:twoCellAnchor>
  <xdr:twoCellAnchor>
    <xdr:from>
      <xdr:col>66</xdr:col>
      <xdr:colOff>0</xdr:colOff>
      <xdr:row>59</xdr:row>
      <xdr:rowOff>180975</xdr:rowOff>
    </xdr:from>
    <xdr:to>
      <xdr:col>66</xdr:col>
      <xdr:colOff>0</xdr:colOff>
      <xdr:row>75</xdr:row>
      <xdr:rowOff>0</xdr:rowOff>
    </xdr:to>
    <xdr:graphicFrame>
      <xdr:nvGraphicFramePr>
        <xdr:cNvPr id="2" name="Chart 2"/>
        <xdr:cNvGraphicFramePr/>
      </xdr:nvGraphicFramePr>
      <xdr:xfrm>
        <a:off x="53473350" y="11430000"/>
        <a:ext cx="0" cy="2828925"/>
      </xdr:xfrm>
      <a:graphic>
        <a:graphicData uri="http://schemas.openxmlformats.org/drawingml/2006/chart">
          <c:chart xmlns:c="http://schemas.openxmlformats.org/drawingml/2006/chart" r:id="rId2"/>
        </a:graphicData>
      </a:graphic>
    </xdr:graphicFrame>
    <xdr:clientData/>
  </xdr:twoCellAnchor>
  <xdr:twoCellAnchor>
    <xdr:from>
      <xdr:col>66</xdr:col>
      <xdr:colOff>0</xdr:colOff>
      <xdr:row>59</xdr:row>
      <xdr:rowOff>0</xdr:rowOff>
    </xdr:from>
    <xdr:to>
      <xdr:col>66</xdr:col>
      <xdr:colOff>0</xdr:colOff>
      <xdr:row>74</xdr:row>
      <xdr:rowOff>19050</xdr:rowOff>
    </xdr:to>
    <xdr:graphicFrame>
      <xdr:nvGraphicFramePr>
        <xdr:cNvPr id="3" name="Chart 3"/>
        <xdr:cNvGraphicFramePr/>
      </xdr:nvGraphicFramePr>
      <xdr:xfrm>
        <a:off x="53473350" y="11249025"/>
        <a:ext cx="0" cy="2838450"/>
      </xdr:xfrm>
      <a:graphic>
        <a:graphicData uri="http://schemas.openxmlformats.org/drawingml/2006/chart">
          <c:chart xmlns:c="http://schemas.openxmlformats.org/drawingml/2006/chart" r:id="rId3"/>
        </a:graphicData>
      </a:graphic>
    </xdr:graphicFrame>
    <xdr:clientData/>
  </xdr:twoCellAnchor>
  <xdr:twoCellAnchor>
    <xdr:from>
      <xdr:col>66</xdr:col>
      <xdr:colOff>0</xdr:colOff>
      <xdr:row>77</xdr:row>
      <xdr:rowOff>9525</xdr:rowOff>
    </xdr:from>
    <xdr:to>
      <xdr:col>66</xdr:col>
      <xdr:colOff>0</xdr:colOff>
      <xdr:row>103</xdr:row>
      <xdr:rowOff>0</xdr:rowOff>
    </xdr:to>
    <xdr:graphicFrame>
      <xdr:nvGraphicFramePr>
        <xdr:cNvPr id="4" name="Chart 4"/>
        <xdr:cNvGraphicFramePr/>
      </xdr:nvGraphicFramePr>
      <xdr:xfrm>
        <a:off x="53473350" y="14649450"/>
        <a:ext cx="0" cy="4848225"/>
      </xdr:xfrm>
      <a:graphic>
        <a:graphicData uri="http://schemas.openxmlformats.org/drawingml/2006/chart">
          <c:chart xmlns:c="http://schemas.openxmlformats.org/drawingml/2006/chart" r:id="rId4"/>
        </a:graphicData>
      </a:graphic>
    </xdr:graphicFrame>
    <xdr:clientData/>
  </xdr:twoCellAnchor>
  <xdr:twoCellAnchor>
    <xdr:from>
      <xdr:col>66</xdr:col>
      <xdr:colOff>0</xdr:colOff>
      <xdr:row>77</xdr:row>
      <xdr:rowOff>19050</xdr:rowOff>
    </xdr:from>
    <xdr:to>
      <xdr:col>66</xdr:col>
      <xdr:colOff>0</xdr:colOff>
      <xdr:row>103</xdr:row>
      <xdr:rowOff>0</xdr:rowOff>
    </xdr:to>
    <xdr:graphicFrame>
      <xdr:nvGraphicFramePr>
        <xdr:cNvPr id="5" name="Chart 5"/>
        <xdr:cNvGraphicFramePr/>
      </xdr:nvGraphicFramePr>
      <xdr:xfrm>
        <a:off x="53473350" y="14658975"/>
        <a:ext cx="0" cy="4838700"/>
      </xdr:xfrm>
      <a:graphic>
        <a:graphicData uri="http://schemas.openxmlformats.org/drawingml/2006/chart">
          <c:chart xmlns:c="http://schemas.openxmlformats.org/drawingml/2006/chart" r:id="rId5"/>
        </a:graphicData>
      </a:graphic>
    </xdr:graphicFrame>
    <xdr:clientData/>
  </xdr:twoCellAnchor>
  <xdr:twoCellAnchor>
    <xdr:from>
      <xdr:col>66</xdr:col>
      <xdr:colOff>0</xdr:colOff>
      <xdr:row>108</xdr:row>
      <xdr:rowOff>0</xdr:rowOff>
    </xdr:from>
    <xdr:to>
      <xdr:col>66</xdr:col>
      <xdr:colOff>0</xdr:colOff>
      <xdr:row>134</xdr:row>
      <xdr:rowOff>161925</xdr:rowOff>
    </xdr:to>
    <xdr:graphicFrame>
      <xdr:nvGraphicFramePr>
        <xdr:cNvPr id="6" name="Chart 6"/>
        <xdr:cNvGraphicFramePr/>
      </xdr:nvGraphicFramePr>
      <xdr:xfrm>
        <a:off x="53473350" y="20631150"/>
        <a:ext cx="0" cy="4371975"/>
      </xdr:xfrm>
      <a:graphic>
        <a:graphicData uri="http://schemas.openxmlformats.org/drawingml/2006/chart">
          <c:chart xmlns:c="http://schemas.openxmlformats.org/drawingml/2006/chart" r:id="rId6"/>
        </a:graphicData>
      </a:graphic>
    </xdr:graphicFrame>
    <xdr:clientData/>
  </xdr:twoCellAnchor>
  <xdr:twoCellAnchor>
    <xdr:from>
      <xdr:col>66</xdr:col>
      <xdr:colOff>0</xdr:colOff>
      <xdr:row>108</xdr:row>
      <xdr:rowOff>0</xdr:rowOff>
    </xdr:from>
    <xdr:to>
      <xdr:col>66</xdr:col>
      <xdr:colOff>0</xdr:colOff>
      <xdr:row>135</xdr:row>
      <xdr:rowOff>0</xdr:rowOff>
    </xdr:to>
    <xdr:graphicFrame>
      <xdr:nvGraphicFramePr>
        <xdr:cNvPr id="7" name="Chart 7"/>
        <xdr:cNvGraphicFramePr/>
      </xdr:nvGraphicFramePr>
      <xdr:xfrm>
        <a:off x="53473350" y="20631150"/>
        <a:ext cx="0" cy="4371975"/>
      </xdr:xfrm>
      <a:graphic>
        <a:graphicData uri="http://schemas.openxmlformats.org/drawingml/2006/chart">
          <c:chart xmlns:c="http://schemas.openxmlformats.org/drawingml/2006/chart" r:id="rId7"/>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142875</xdr:rowOff>
    </xdr:from>
    <xdr:to>
      <xdr:col>2</xdr:col>
      <xdr:colOff>200025</xdr:colOff>
      <xdr:row>6</xdr:row>
      <xdr:rowOff>133350</xdr:rowOff>
    </xdr:to>
    <xdr:pic>
      <xdr:nvPicPr>
        <xdr:cNvPr id="1" name="Picture 1"/>
        <xdr:cNvPicPr preferRelativeResize="1">
          <a:picLocks noChangeAspect="1"/>
        </xdr:cNvPicPr>
      </xdr:nvPicPr>
      <xdr:blipFill>
        <a:blip r:embed="rId1"/>
        <a:stretch>
          <a:fillRect/>
        </a:stretch>
      </xdr:blipFill>
      <xdr:spPr>
        <a:xfrm>
          <a:off x="609600" y="304800"/>
          <a:ext cx="2647950" cy="8953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27</xdr:row>
      <xdr:rowOff>9525</xdr:rowOff>
    </xdr:from>
    <xdr:to>
      <xdr:col>1</xdr:col>
      <xdr:colOff>2171700</xdr:colOff>
      <xdr:row>27</xdr:row>
      <xdr:rowOff>161925</xdr:rowOff>
    </xdr:to>
    <xdr:pic>
      <xdr:nvPicPr>
        <xdr:cNvPr id="1" name="Picture 1" descr="MCC horizontal"/>
        <xdr:cNvPicPr preferRelativeResize="1">
          <a:picLocks noChangeAspect="1"/>
        </xdr:cNvPicPr>
      </xdr:nvPicPr>
      <xdr:blipFill>
        <a:blip r:embed="rId1"/>
        <a:stretch>
          <a:fillRect/>
        </a:stretch>
      </xdr:blipFill>
      <xdr:spPr>
        <a:xfrm>
          <a:off x="523875" y="6524625"/>
          <a:ext cx="2162175" cy="152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xdr:from>
      <xdr:col>2</xdr:col>
      <xdr:colOff>1295400</xdr:colOff>
      <xdr:row>29</xdr:row>
      <xdr:rowOff>161925</xdr:rowOff>
    </xdr:from>
    <xdr:to>
      <xdr:col>5</xdr:col>
      <xdr:colOff>742950</xdr:colOff>
      <xdr:row>52</xdr:row>
      <xdr:rowOff>114300</xdr:rowOff>
    </xdr:to>
    <xdr:graphicFrame>
      <xdr:nvGraphicFramePr>
        <xdr:cNvPr id="6" name="Chart 1"/>
        <xdr:cNvGraphicFramePr/>
      </xdr:nvGraphicFramePr>
      <xdr:xfrm>
        <a:off x="2886075" y="7219950"/>
        <a:ext cx="5743575" cy="3676650"/>
      </xdr:xfrm>
      <a:graphic>
        <a:graphicData uri="http://schemas.openxmlformats.org/drawingml/2006/chart">
          <c:chart xmlns:c="http://schemas.openxmlformats.org/drawingml/2006/chart" r:id="rId2"/>
        </a:graphicData>
      </a:graphic>
    </xdr:graphicFrame>
    <xdr:clientData/>
  </xdr:twoCellAnchor>
  <xdr:twoCellAnchor editAs="oneCell">
    <xdr:from>
      <xdr:col>4</xdr:col>
      <xdr:colOff>285750</xdr:colOff>
      <xdr:row>1</xdr:row>
      <xdr:rowOff>142875</xdr:rowOff>
    </xdr:from>
    <xdr:to>
      <xdr:col>6</xdr:col>
      <xdr:colOff>590550</xdr:colOff>
      <xdr:row>2</xdr:row>
      <xdr:rowOff>38100</xdr:rowOff>
    </xdr:to>
    <xdr:pic>
      <xdr:nvPicPr>
        <xdr:cNvPr id="7" name="Picture 6" descr="MCC horizontal"/>
        <xdr:cNvPicPr preferRelativeResize="1">
          <a:picLocks noChangeAspect="1"/>
        </xdr:cNvPicPr>
      </xdr:nvPicPr>
      <xdr:blipFill>
        <a:blip r:embed="rId3"/>
        <a:stretch>
          <a:fillRect/>
        </a:stretch>
      </xdr:blipFill>
      <xdr:spPr>
        <a:xfrm>
          <a:off x="7124700" y="304800"/>
          <a:ext cx="2400300" cy="19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drawing" Target="../drawings/drawing12.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9.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B1:BQ649"/>
  <sheetViews>
    <sheetView zoomScalePageLayoutView="0" workbookViewId="0" topLeftCell="F108">
      <selection activeCell="C7" sqref="C7"/>
    </sheetView>
  </sheetViews>
  <sheetFormatPr defaultColWidth="11.421875" defaultRowHeight="12.75"/>
  <cols>
    <col min="1" max="2" width="11.421875" style="0" customWidth="1"/>
    <col min="3" max="3" width="10.7109375" style="0" customWidth="1"/>
    <col min="4" max="4" width="16.28125" style="0" bestFit="1" customWidth="1"/>
    <col min="5" max="5" width="31.140625" style="0" customWidth="1"/>
    <col min="6" max="6" width="11.7109375" style="0" customWidth="1"/>
    <col min="7" max="8" width="11.57421875" style="0" customWidth="1"/>
    <col min="9" max="12" width="11.57421875" style="0" bestFit="1" customWidth="1"/>
    <col min="13" max="13" width="12.57421875" style="0" hidden="1" customWidth="1"/>
    <col min="14" max="14" width="12.57421875" style="0" bestFit="1" customWidth="1"/>
    <col min="15" max="20" width="11.57421875" style="0" bestFit="1" customWidth="1"/>
    <col min="21" max="21" width="12.57421875" style="0" hidden="1" customWidth="1"/>
    <col min="22" max="23" width="12.7109375" style="0" customWidth="1"/>
    <col min="24" max="24" width="11.57421875" style="0" bestFit="1" customWidth="1"/>
    <col min="25" max="25" width="12.7109375" style="0" customWidth="1"/>
    <col min="26" max="28" width="11.57421875" style="0" bestFit="1" customWidth="1"/>
    <col min="29" max="29" width="12.57421875" style="0" hidden="1" customWidth="1"/>
    <col min="30" max="30" width="12.57421875" style="0" customWidth="1"/>
    <col min="31" max="32" width="11.421875" style="0" customWidth="1"/>
    <col min="33" max="33" width="16.7109375" style="0" customWidth="1"/>
    <col min="34" max="34" width="27.7109375" style="0" customWidth="1"/>
    <col min="35" max="35" width="11.7109375" style="0" customWidth="1"/>
    <col min="36" max="40" width="12.7109375" style="0" customWidth="1"/>
    <col min="41" max="41" width="12.7109375" style="0" hidden="1" customWidth="1"/>
    <col min="42" max="48" width="12.7109375" style="0" customWidth="1"/>
    <col min="49" max="49" width="12.7109375" style="0" hidden="1" customWidth="1"/>
    <col min="50" max="56" width="12.7109375" style="0" customWidth="1"/>
    <col min="57" max="57" width="12.7109375" style="0" hidden="1" customWidth="1"/>
    <col min="58" max="59" width="11.421875" style="0" customWidth="1"/>
    <col min="60" max="60" width="16.7109375" style="0" customWidth="1"/>
    <col min="61" max="61" width="31.140625" style="0" customWidth="1"/>
    <col min="62" max="63" width="12.7109375" style="0" customWidth="1"/>
    <col min="64" max="66" width="14.7109375" style="0" customWidth="1"/>
  </cols>
  <sheetData>
    <row r="1" spans="8:11" ht="12.75">
      <c r="H1" s="25"/>
      <c r="I1" s="25"/>
      <c r="J1" s="25"/>
      <c r="K1" s="25"/>
    </row>
    <row r="2" spans="4:66" ht="12.75">
      <c r="D2" s="517"/>
      <c r="E2" s="517"/>
      <c r="F2" s="517"/>
      <c r="G2" s="517"/>
      <c r="H2" s="517"/>
      <c r="I2" s="517"/>
      <c r="J2" s="517"/>
      <c r="K2" s="517"/>
      <c r="L2" s="517"/>
      <c r="M2" s="517"/>
      <c r="N2" s="517"/>
      <c r="O2" s="517"/>
      <c r="P2" s="517"/>
      <c r="Q2" s="517"/>
      <c r="R2" s="517"/>
      <c r="S2" s="517"/>
      <c r="T2" s="517"/>
      <c r="U2" s="517"/>
      <c r="V2" s="517"/>
      <c r="W2" s="517"/>
      <c r="X2" s="517"/>
      <c r="Y2" s="517"/>
      <c r="Z2" s="517"/>
      <c r="AA2" s="517"/>
      <c r="AB2" s="517"/>
      <c r="AC2" s="517"/>
      <c r="AG2" s="27" t="s">
        <v>51</v>
      </c>
      <c r="AH2" s="27"/>
      <c r="AI2" s="27"/>
      <c r="AJ2" s="27"/>
      <c r="AK2" s="27"/>
      <c r="AL2" s="27"/>
      <c r="AM2" s="27"/>
      <c r="AN2" s="27"/>
      <c r="AO2" s="27"/>
      <c r="AP2" s="27"/>
      <c r="AQ2" s="27"/>
      <c r="AR2" s="27"/>
      <c r="AS2" s="27"/>
      <c r="AT2" s="27"/>
      <c r="AU2" s="27"/>
      <c r="AV2" s="27"/>
      <c r="AW2" s="27"/>
      <c r="AX2" s="27"/>
      <c r="AY2" s="27"/>
      <c r="AZ2" s="27"/>
      <c r="BA2" s="27"/>
      <c r="BB2" s="27"/>
      <c r="BC2" s="27"/>
      <c r="BD2" s="27"/>
      <c r="BE2" s="27"/>
      <c r="BH2" s="517" t="s">
        <v>52</v>
      </c>
      <c r="BI2" s="517"/>
      <c r="BJ2" s="517"/>
      <c r="BK2" s="517"/>
      <c r="BL2" s="517"/>
      <c r="BM2" s="517"/>
      <c r="BN2" s="517"/>
    </row>
    <row r="3" spans="4:66" ht="12.75">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G3" s="27" t="s">
        <v>53</v>
      </c>
      <c r="AH3" s="27"/>
      <c r="AI3" s="27"/>
      <c r="AJ3" s="27"/>
      <c r="AK3" s="27"/>
      <c r="AL3" s="27"/>
      <c r="AM3" s="27"/>
      <c r="AN3" s="27"/>
      <c r="AO3" s="27"/>
      <c r="AP3" s="27"/>
      <c r="AQ3" s="27"/>
      <c r="AR3" s="27"/>
      <c r="AS3" s="27"/>
      <c r="AT3" s="27"/>
      <c r="AU3" s="27"/>
      <c r="AV3" s="27"/>
      <c r="AW3" s="27"/>
      <c r="AX3" s="27"/>
      <c r="AY3" s="27"/>
      <c r="AZ3" s="27"/>
      <c r="BA3" s="27"/>
      <c r="BB3" s="27"/>
      <c r="BC3" s="27"/>
      <c r="BD3" s="27"/>
      <c r="BE3" s="27"/>
      <c r="BH3" s="517" t="s">
        <v>54</v>
      </c>
      <c r="BI3" s="517"/>
      <c r="BJ3" s="517"/>
      <c r="BK3" s="517"/>
      <c r="BL3" s="517"/>
      <c r="BM3" s="517"/>
      <c r="BN3" s="517"/>
    </row>
    <row r="4" spans="4:66" ht="12.75">
      <c r="D4" s="26"/>
      <c r="E4" s="26"/>
      <c r="F4" s="26"/>
      <c r="G4" s="26"/>
      <c r="H4" s="26"/>
      <c r="I4" s="26"/>
      <c r="J4" s="26"/>
      <c r="K4" s="26"/>
      <c r="L4" s="26"/>
      <c r="M4" s="26"/>
      <c r="N4" s="26"/>
      <c r="O4" s="26"/>
      <c r="P4" s="26"/>
      <c r="Q4" s="26"/>
      <c r="R4" s="26"/>
      <c r="S4" s="26"/>
      <c r="T4" s="26"/>
      <c r="U4" s="26"/>
      <c r="V4" s="26"/>
      <c r="W4" s="26"/>
      <c r="X4" s="26"/>
      <c r="Y4" s="26"/>
      <c r="Z4" s="26"/>
      <c r="AA4" s="26"/>
      <c r="AB4" s="26"/>
      <c r="AC4" s="26"/>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H4" s="26"/>
      <c r="BI4" s="26"/>
      <c r="BJ4" s="26"/>
      <c r="BK4" s="26"/>
      <c r="BL4" s="26"/>
      <c r="BM4" s="26"/>
      <c r="BN4" s="26"/>
    </row>
    <row r="5" spans="2:66" ht="12.75" customHeight="1">
      <c r="B5" s="508" t="s">
        <v>55</v>
      </c>
      <c r="C5" s="508" t="s">
        <v>56</v>
      </c>
      <c r="D5" s="508" t="s">
        <v>57</v>
      </c>
      <c r="E5" s="508" t="s">
        <v>58</v>
      </c>
      <c r="F5" s="512" t="s">
        <v>59</v>
      </c>
      <c r="G5" s="513"/>
      <c r="H5" s="512" t="s">
        <v>60</v>
      </c>
      <c r="I5" s="513"/>
      <c r="J5" s="513"/>
      <c r="K5" s="513"/>
      <c r="L5" s="513"/>
      <c r="M5" s="514"/>
      <c r="N5" s="512" t="s">
        <v>61</v>
      </c>
      <c r="O5" s="513"/>
      <c r="P5" s="513"/>
      <c r="Q5" s="513"/>
      <c r="R5" s="513"/>
      <c r="S5" s="513"/>
      <c r="T5" s="513"/>
      <c r="U5" s="514"/>
      <c r="V5" s="512" t="s">
        <v>62</v>
      </c>
      <c r="W5" s="513"/>
      <c r="X5" s="513"/>
      <c r="Y5" s="513"/>
      <c r="Z5" s="513"/>
      <c r="AA5" s="513"/>
      <c r="AB5" s="513"/>
      <c r="AC5" s="28"/>
      <c r="AF5" s="515" t="s">
        <v>56</v>
      </c>
      <c r="AG5" s="508" t="s">
        <v>57</v>
      </c>
      <c r="AH5" s="508" t="s">
        <v>58</v>
      </c>
      <c r="AI5" s="510" t="s">
        <v>63</v>
      </c>
      <c r="AJ5" s="512" t="s">
        <v>60</v>
      </c>
      <c r="AK5" s="513"/>
      <c r="AL5" s="513"/>
      <c r="AM5" s="513"/>
      <c r="AN5" s="513"/>
      <c r="AO5" s="514"/>
      <c r="AP5" s="512" t="s">
        <v>61</v>
      </c>
      <c r="AQ5" s="513"/>
      <c r="AR5" s="513"/>
      <c r="AS5" s="513"/>
      <c r="AT5" s="513"/>
      <c r="AU5" s="513"/>
      <c r="AV5" s="513"/>
      <c r="AW5" s="514"/>
      <c r="AX5" s="512" t="s">
        <v>62</v>
      </c>
      <c r="AY5" s="513"/>
      <c r="AZ5" s="513"/>
      <c r="BA5" s="513"/>
      <c r="BB5" s="513"/>
      <c r="BC5" s="513"/>
      <c r="BD5" s="513"/>
      <c r="BE5" s="514"/>
      <c r="BH5" s="508" t="s">
        <v>57</v>
      </c>
      <c r="BI5" s="508" t="s">
        <v>58</v>
      </c>
      <c r="BJ5" s="508" t="s">
        <v>64</v>
      </c>
      <c r="BK5" s="508" t="s">
        <v>63</v>
      </c>
      <c r="BL5" s="512" t="s">
        <v>65</v>
      </c>
      <c r="BM5" s="513"/>
      <c r="BN5" s="513"/>
    </row>
    <row r="6" spans="2:66" ht="38.25">
      <c r="B6" s="509"/>
      <c r="C6" s="509"/>
      <c r="D6" s="509"/>
      <c r="E6" s="509"/>
      <c r="F6" s="30" t="s">
        <v>64</v>
      </c>
      <c r="G6" s="31" t="s">
        <v>63</v>
      </c>
      <c r="H6" s="31" t="s">
        <v>66</v>
      </c>
      <c r="I6" s="31" t="s">
        <v>67</v>
      </c>
      <c r="J6" s="31" t="s">
        <v>68</v>
      </c>
      <c r="K6" s="31" t="s">
        <v>69</v>
      </c>
      <c r="L6" s="31" t="s">
        <v>70</v>
      </c>
      <c r="M6" s="31" t="s">
        <v>63</v>
      </c>
      <c r="N6" s="31" t="s">
        <v>71</v>
      </c>
      <c r="O6" s="31" t="s">
        <v>72</v>
      </c>
      <c r="P6" s="31" t="s">
        <v>73</v>
      </c>
      <c r="Q6" s="31" t="s">
        <v>74</v>
      </c>
      <c r="R6" s="31" t="s">
        <v>75</v>
      </c>
      <c r="S6" s="31" t="s">
        <v>76</v>
      </c>
      <c r="T6" s="31" t="s">
        <v>77</v>
      </c>
      <c r="U6" s="31" t="s">
        <v>63</v>
      </c>
      <c r="V6" s="31" t="s">
        <v>78</v>
      </c>
      <c r="W6" s="31" t="s">
        <v>79</v>
      </c>
      <c r="X6" s="31" t="s">
        <v>80</v>
      </c>
      <c r="Y6" s="31" t="s">
        <v>81</v>
      </c>
      <c r="Z6" s="31" t="s">
        <v>82</v>
      </c>
      <c r="AA6" s="31" t="s">
        <v>83</v>
      </c>
      <c r="AB6" s="31" t="s">
        <v>84</v>
      </c>
      <c r="AC6" s="31" t="s">
        <v>63</v>
      </c>
      <c r="AF6" s="516"/>
      <c r="AG6" s="509"/>
      <c r="AH6" s="509"/>
      <c r="AI6" s="511"/>
      <c r="AJ6" s="31" t="s">
        <v>66</v>
      </c>
      <c r="AK6" s="31" t="s">
        <v>67</v>
      </c>
      <c r="AL6" s="31" t="s">
        <v>68</v>
      </c>
      <c r="AM6" s="31" t="s">
        <v>69</v>
      </c>
      <c r="AN6" s="31" t="s">
        <v>70</v>
      </c>
      <c r="AO6" s="31" t="s">
        <v>85</v>
      </c>
      <c r="AP6" s="31" t="s">
        <v>71</v>
      </c>
      <c r="AQ6" s="31" t="s">
        <v>72</v>
      </c>
      <c r="AR6" s="31" t="s">
        <v>73</v>
      </c>
      <c r="AS6" s="31" t="s">
        <v>74</v>
      </c>
      <c r="AT6" s="31" t="s">
        <v>75</v>
      </c>
      <c r="AU6" s="31" t="s">
        <v>76</v>
      </c>
      <c r="AV6" s="31" t="s">
        <v>77</v>
      </c>
      <c r="AW6" s="31" t="s">
        <v>63</v>
      </c>
      <c r="AX6" s="31" t="s">
        <v>78</v>
      </c>
      <c r="AY6" s="31" t="s">
        <v>79</v>
      </c>
      <c r="AZ6" s="31" t="s">
        <v>80</v>
      </c>
      <c r="BA6" s="31" t="s">
        <v>81</v>
      </c>
      <c r="BB6" s="31" t="s">
        <v>82</v>
      </c>
      <c r="BC6" s="31" t="s">
        <v>83</v>
      </c>
      <c r="BD6" s="31" t="s">
        <v>84</v>
      </c>
      <c r="BE6" s="31" t="s">
        <v>63</v>
      </c>
      <c r="BH6" s="509"/>
      <c r="BI6" s="509"/>
      <c r="BJ6" s="509"/>
      <c r="BK6" s="509"/>
      <c r="BL6" s="29" t="s">
        <v>86</v>
      </c>
      <c r="BM6" s="29" t="s">
        <v>87</v>
      </c>
      <c r="BN6" s="29" t="s">
        <v>88</v>
      </c>
    </row>
    <row r="7" spans="2:43" ht="15">
      <c r="B7" s="32"/>
      <c r="C7" s="32"/>
      <c r="D7" s="33"/>
      <c r="E7" s="33"/>
      <c r="F7" s="34"/>
      <c r="G7" s="34"/>
      <c r="H7" s="34"/>
      <c r="I7" s="34"/>
      <c r="J7" s="34"/>
      <c r="K7" s="34"/>
      <c r="L7" s="34"/>
      <c r="M7" s="35"/>
      <c r="N7" s="34"/>
      <c r="O7" s="34"/>
      <c r="P7" s="34"/>
      <c r="Q7" s="34"/>
      <c r="R7" s="34"/>
      <c r="S7" s="34"/>
      <c r="T7" s="36"/>
      <c r="U7" s="35"/>
      <c r="V7" s="35"/>
      <c r="W7" s="35"/>
      <c r="X7" s="35"/>
      <c r="Y7" s="35"/>
      <c r="Z7" s="35"/>
      <c r="AA7" s="35"/>
      <c r="AB7" s="35"/>
      <c r="AC7" s="35"/>
      <c r="AG7" s="37"/>
      <c r="AH7" s="38"/>
      <c r="AQ7" s="24"/>
    </row>
    <row r="8" spans="2:66" ht="14.25">
      <c r="B8" s="32"/>
      <c r="C8" s="32"/>
      <c r="D8" s="33" t="s">
        <v>89</v>
      </c>
      <c r="E8" s="33"/>
      <c r="F8" s="34">
        <v>6396890</v>
      </c>
      <c r="G8" s="34">
        <f>1442787-17</f>
        <v>1442770</v>
      </c>
      <c r="H8" s="34">
        <v>1160239</v>
      </c>
      <c r="I8" s="34">
        <v>86948</v>
      </c>
      <c r="J8" s="34">
        <v>140566</v>
      </c>
      <c r="K8" s="34">
        <v>49071</v>
      </c>
      <c r="L8" s="34">
        <v>5946</v>
      </c>
      <c r="M8" s="35">
        <v>1442770</v>
      </c>
      <c r="N8" s="34">
        <v>845249</v>
      </c>
      <c r="O8" s="34">
        <v>87673</v>
      </c>
      <c r="P8" s="34">
        <v>135400</v>
      </c>
      <c r="Q8" s="34">
        <v>63246</v>
      </c>
      <c r="R8" s="34">
        <v>174094</v>
      </c>
      <c r="S8" s="34">
        <v>123397</v>
      </c>
      <c r="T8" s="34">
        <v>13711</v>
      </c>
      <c r="U8" s="35">
        <v>1442770</v>
      </c>
      <c r="V8" s="34">
        <v>534643</v>
      </c>
      <c r="W8" s="34">
        <v>95621</v>
      </c>
      <c r="X8" s="34">
        <v>586127</v>
      </c>
      <c r="Y8" s="34">
        <v>39658</v>
      </c>
      <c r="Z8" s="34">
        <v>9445</v>
      </c>
      <c r="AA8" s="34">
        <v>58840</v>
      </c>
      <c r="AB8" s="34">
        <v>118436</v>
      </c>
      <c r="AC8" s="35">
        <v>1442770</v>
      </c>
      <c r="AD8" s="39"/>
      <c r="AG8" s="37" t="str">
        <f>+D8</f>
        <v>TOTAL PAIS</v>
      </c>
      <c r="AH8" s="38" t="s">
        <v>90</v>
      </c>
      <c r="AI8" s="40">
        <f>+G8</f>
        <v>1442770</v>
      </c>
      <c r="AJ8" s="41">
        <f>+H8/$M8*100</f>
        <v>80.41746085654678</v>
      </c>
      <c r="AK8" s="41">
        <f>+I8/$M8*100</f>
        <v>6.0264629843980675</v>
      </c>
      <c r="AL8" s="41">
        <f>+J8/$M8*100</f>
        <v>9.742786445517996</v>
      </c>
      <c r="AM8" s="41">
        <f>+K8/$M8*100</f>
        <v>3.4011658129847446</v>
      </c>
      <c r="AN8" s="41">
        <f>+L8/$M8*100</f>
        <v>0.41212390055240966</v>
      </c>
      <c r="AO8" s="41">
        <f>+SUM(AJ8:AN8)</f>
        <v>100</v>
      </c>
      <c r="AP8" s="41">
        <f aca="true" t="shared" si="0" ref="AP8:AV8">+N8/$U8*100</f>
        <v>58.58515217255695</v>
      </c>
      <c r="AQ8" s="41">
        <f t="shared" si="0"/>
        <v>6.076713544085336</v>
      </c>
      <c r="AR8" s="41">
        <f t="shared" si="0"/>
        <v>9.384725216077406</v>
      </c>
      <c r="AS8" s="41">
        <f t="shared" si="0"/>
        <v>4.383650893766852</v>
      </c>
      <c r="AT8" s="41">
        <f t="shared" si="0"/>
        <v>12.06664956992452</v>
      </c>
      <c r="AU8" s="41">
        <f t="shared" si="0"/>
        <v>8.552783881006674</v>
      </c>
      <c r="AV8" s="41">
        <f t="shared" si="0"/>
        <v>0.950324722582255</v>
      </c>
      <c r="AW8" s="41">
        <f>+SUM(AP8:AV8)</f>
        <v>99.99999999999999</v>
      </c>
      <c r="AX8" s="41">
        <f aca="true" t="shared" si="1" ref="AX8:BD8">+V8/$AC8*100</f>
        <v>37.05670342466228</v>
      </c>
      <c r="AY8" s="41">
        <f t="shared" si="1"/>
        <v>6.6275983004914165</v>
      </c>
      <c r="AZ8" s="41">
        <f t="shared" si="1"/>
        <v>40.625116962509615</v>
      </c>
      <c r="BA8" s="41">
        <f t="shared" si="1"/>
        <v>2.748740270451978</v>
      </c>
      <c r="BB8" s="41">
        <f t="shared" si="1"/>
        <v>0.6546434982706876</v>
      </c>
      <c r="BC8" s="41">
        <f t="shared" si="1"/>
        <v>4.078266113101881</v>
      </c>
      <c r="BD8" s="41">
        <f t="shared" si="1"/>
        <v>8.20893143051214</v>
      </c>
      <c r="BE8" s="24">
        <f>+SUM(AX8:BD8)</f>
        <v>99.99999999999999</v>
      </c>
      <c r="BH8" t="s">
        <v>91</v>
      </c>
      <c r="BJ8" s="25">
        <f>+F8</f>
        <v>6396890</v>
      </c>
      <c r="BK8" s="25">
        <f>+G8</f>
        <v>1442770</v>
      </c>
      <c r="BL8" s="24">
        <f>AK8+AL8+AM8+AN8</f>
        <v>19.582539143453218</v>
      </c>
      <c r="BM8" s="24">
        <f>+AQ8+AR8+AS8+AT8+AU8+AV8</f>
        <v>41.41484782744304</v>
      </c>
      <c r="BN8" s="24">
        <f>+BD8</f>
        <v>8.20893143051214</v>
      </c>
    </row>
    <row r="9" spans="2:66" ht="14.25">
      <c r="B9" s="32"/>
      <c r="C9" s="32"/>
      <c r="D9" s="33"/>
      <c r="E9" s="33"/>
      <c r="F9" s="34"/>
      <c r="G9" s="34"/>
      <c r="H9" s="34"/>
      <c r="I9" s="34"/>
      <c r="J9" s="34"/>
      <c r="K9" s="34"/>
      <c r="L9" s="34"/>
      <c r="M9" s="34"/>
      <c r="N9" s="34"/>
      <c r="O9" s="34"/>
      <c r="P9" s="34"/>
      <c r="Q9" s="34"/>
      <c r="R9" s="34"/>
      <c r="S9" s="34"/>
      <c r="T9" s="34"/>
      <c r="U9" s="34"/>
      <c r="V9" s="34"/>
      <c r="W9" s="34"/>
      <c r="X9" s="34"/>
      <c r="Y9" s="34"/>
      <c r="Z9" s="34"/>
      <c r="AA9" s="34"/>
      <c r="AB9" s="34"/>
      <c r="AC9" s="34"/>
      <c r="AD9" s="39"/>
      <c r="AG9" s="37"/>
      <c r="AH9" s="38"/>
      <c r="AI9" s="3"/>
      <c r="AJ9" s="41"/>
      <c r="AK9" s="41"/>
      <c r="AL9" s="41"/>
      <c r="AM9" s="41"/>
      <c r="AN9" s="41"/>
      <c r="AO9" s="41"/>
      <c r="AP9" s="41"/>
      <c r="AQ9" s="41"/>
      <c r="AR9" s="41"/>
      <c r="AS9" s="41"/>
      <c r="AT9" s="41"/>
      <c r="AU9" s="41"/>
      <c r="AV9" s="41"/>
      <c r="AW9" s="41"/>
      <c r="AX9" s="41"/>
      <c r="AY9" s="41"/>
      <c r="AZ9" s="41"/>
      <c r="BA9" s="41"/>
      <c r="BB9" s="41"/>
      <c r="BC9" s="41"/>
      <c r="BD9" s="41"/>
      <c r="BE9" s="24"/>
      <c r="BJ9" s="25"/>
      <c r="BK9" s="25"/>
      <c r="BL9" s="24"/>
      <c r="BM9" s="24"/>
      <c r="BN9" s="24"/>
    </row>
    <row r="10" spans="2:66" ht="15">
      <c r="B10" s="32" t="s">
        <v>92</v>
      </c>
      <c r="C10" s="32" t="s">
        <v>93</v>
      </c>
      <c r="D10" s="33" t="s">
        <v>94</v>
      </c>
      <c r="E10" s="33" t="s">
        <v>95</v>
      </c>
      <c r="F10" s="34">
        <v>747</v>
      </c>
      <c r="G10" s="34">
        <v>255</v>
      </c>
      <c r="H10" s="34">
        <v>162</v>
      </c>
      <c r="I10" s="34">
        <v>29</v>
      </c>
      <c r="J10" s="34">
        <v>58</v>
      </c>
      <c r="K10" s="34">
        <v>6</v>
      </c>
      <c r="L10" s="34">
        <v>0</v>
      </c>
      <c r="M10" s="35">
        <f aca="true" t="shared" si="2" ref="M10:M41">+H10+I10+J10+K10+L10</f>
        <v>255</v>
      </c>
      <c r="N10" s="34">
        <v>131</v>
      </c>
      <c r="O10" s="34">
        <v>12</v>
      </c>
      <c r="P10" s="34">
        <v>22</v>
      </c>
      <c r="Q10" s="34">
        <v>2</v>
      </c>
      <c r="R10" s="34">
        <v>25</v>
      </c>
      <c r="S10" s="34">
        <v>62</v>
      </c>
      <c r="T10" s="36">
        <v>1</v>
      </c>
      <c r="U10" s="35">
        <f aca="true" t="shared" si="3" ref="U10:U41">+N10+O10+P10+Q10+R10+S10+T10</f>
        <v>255</v>
      </c>
      <c r="V10" s="35">
        <v>0</v>
      </c>
      <c r="W10" s="35">
        <v>10</v>
      </c>
      <c r="X10" s="35">
        <v>181</v>
      </c>
      <c r="Y10" s="35">
        <v>0</v>
      </c>
      <c r="Z10" s="35">
        <v>0</v>
      </c>
      <c r="AA10" s="35">
        <v>8</v>
      </c>
      <c r="AB10" s="35">
        <v>56</v>
      </c>
      <c r="AC10" s="35">
        <f aca="true" t="shared" si="4" ref="AC10:AC41">+V10+W10+X10+Y10+Z10+AA10+AB10</f>
        <v>255</v>
      </c>
      <c r="AD10" s="42"/>
      <c r="AE10" s="43"/>
      <c r="AF10" t="s">
        <v>93</v>
      </c>
      <c r="AG10" s="37" t="s">
        <v>94</v>
      </c>
      <c r="AH10" s="38" t="s">
        <v>95</v>
      </c>
      <c r="AI10" s="40">
        <f aca="true" t="shared" si="5" ref="AI10:AI41">+G10</f>
        <v>255</v>
      </c>
      <c r="AJ10" s="41">
        <f aca="true" t="shared" si="6" ref="AJ10:AJ41">+H10/$M10*100</f>
        <v>63.52941176470588</v>
      </c>
      <c r="AK10" s="41">
        <f aca="true" t="shared" si="7" ref="AK10:AK41">+I10/$M10*100</f>
        <v>11.372549019607844</v>
      </c>
      <c r="AL10" s="41">
        <f aca="true" t="shared" si="8" ref="AL10:AL41">+J10/$M10*100</f>
        <v>22.745098039215687</v>
      </c>
      <c r="AM10" s="41">
        <f aca="true" t="shared" si="9" ref="AM10:AM41">+K10/$M10*100</f>
        <v>2.3529411764705883</v>
      </c>
      <c r="AN10" s="41">
        <f aca="true" t="shared" si="10" ref="AN10:AN41">+L10/$M10*100</f>
        <v>0</v>
      </c>
      <c r="AO10" s="41">
        <f aca="true" t="shared" si="11" ref="AO10:AO41">+SUM(AJ10:AN10)</f>
        <v>100</v>
      </c>
      <c r="AP10" s="41">
        <f aca="true" t="shared" si="12" ref="AP10:AP41">+N10/$U10*100</f>
        <v>51.37254901960784</v>
      </c>
      <c r="AQ10" s="41">
        <f aca="true" t="shared" si="13" ref="AQ10:AQ41">+O10/$U10*100</f>
        <v>4.705882352941177</v>
      </c>
      <c r="AR10" s="41">
        <f aca="true" t="shared" si="14" ref="AR10:AR41">+P10/$U10*100</f>
        <v>8.627450980392156</v>
      </c>
      <c r="AS10" s="41">
        <f aca="true" t="shared" si="15" ref="AS10:AS41">+Q10/$U10*100</f>
        <v>0.7843137254901961</v>
      </c>
      <c r="AT10" s="41">
        <f aca="true" t="shared" si="16" ref="AT10:AT41">+R10/$U10*100</f>
        <v>9.803921568627452</v>
      </c>
      <c r="AU10" s="41">
        <f aca="true" t="shared" si="17" ref="AU10:AU41">+S10/$U10*100</f>
        <v>24.313725490196077</v>
      </c>
      <c r="AV10" s="41">
        <f aca="true" t="shared" si="18" ref="AV10:AV41">+T10/$U10*100</f>
        <v>0.39215686274509803</v>
      </c>
      <c r="AW10" s="41">
        <f aca="true" t="shared" si="19" ref="AW10:AW41">+SUM(AP10:AV10)</f>
        <v>99.99999999999999</v>
      </c>
      <c r="AX10" s="41">
        <f aca="true" t="shared" si="20" ref="AX10:AX41">+V10/$AC10*100</f>
        <v>0</v>
      </c>
      <c r="AY10" s="41">
        <f aca="true" t="shared" si="21" ref="AY10:AY41">+W10/$AC10*100</f>
        <v>3.9215686274509802</v>
      </c>
      <c r="AZ10" s="41">
        <f aca="true" t="shared" si="22" ref="AZ10:AZ41">+X10/$AC10*100</f>
        <v>70.98039215686275</v>
      </c>
      <c r="BA10" s="41">
        <f aca="true" t="shared" si="23" ref="BA10:BA41">+Y10/$AC10*100</f>
        <v>0</v>
      </c>
      <c r="BB10" s="41">
        <f aca="true" t="shared" si="24" ref="BB10:BB41">+Z10/$AC10*100</f>
        <v>0</v>
      </c>
      <c r="BC10" s="41">
        <f aca="true" t="shared" si="25" ref="BC10:BC41">+AA10/$AC10*100</f>
        <v>3.1372549019607843</v>
      </c>
      <c r="BD10" s="41">
        <f aca="true" t="shared" si="26" ref="BD10:BD41">+AB10/$AC10*100</f>
        <v>21.96078431372549</v>
      </c>
      <c r="BE10" s="24">
        <f aca="true" t="shared" si="27" ref="BE10:BE41">+SUM(AX10:BD10)</f>
        <v>100</v>
      </c>
      <c r="BF10" s="43"/>
      <c r="BG10" t="s">
        <v>93</v>
      </c>
      <c r="BH10" t="s">
        <v>94</v>
      </c>
      <c r="BI10" t="s">
        <v>95</v>
      </c>
      <c r="BJ10" s="25">
        <f aca="true" t="shared" si="28" ref="BJ10:BJ41">+F10</f>
        <v>747</v>
      </c>
      <c r="BK10" s="25">
        <f aca="true" t="shared" si="29" ref="BK10:BK41">+G10</f>
        <v>255</v>
      </c>
      <c r="BL10" s="24">
        <f aca="true" t="shared" si="30" ref="BL10:BL41">AK10+AL10+AM10+AN10</f>
        <v>36.470588235294116</v>
      </c>
      <c r="BM10" s="24">
        <f aca="true" t="shared" si="31" ref="BM10:BM41">+AQ10+AR10+AS10+AT10+AU10+AV10</f>
        <v>48.627450980392155</v>
      </c>
      <c r="BN10" s="24">
        <f aca="true" t="shared" si="32" ref="BN10:BN41">+BD10</f>
        <v>21.96078431372549</v>
      </c>
    </row>
    <row r="11" spans="2:66" ht="14.25">
      <c r="B11" s="32" t="s">
        <v>92</v>
      </c>
      <c r="C11" s="32" t="s">
        <v>93</v>
      </c>
      <c r="D11" s="33" t="s">
        <v>94</v>
      </c>
      <c r="E11" s="33" t="s">
        <v>96</v>
      </c>
      <c r="F11" s="34">
        <v>7846</v>
      </c>
      <c r="G11" s="34">
        <v>1256</v>
      </c>
      <c r="H11" s="34">
        <v>887</v>
      </c>
      <c r="I11" s="34">
        <v>49</v>
      </c>
      <c r="J11" s="34">
        <v>300</v>
      </c>
      <c r="K11" s="34">
        <v>7</v>
      </c>
      <c r="L11" s="34">
        <v>14</v>
      </c>
      <c r="M11" s="35">
        <f t="shared" si="2"/>
        <v>1257</v>
      </c>
      <c r="N11" s="34">
        <v>265</v>
      </c>
      <c r="O11" s="34">
        <v>21</v>
      </c>
      <c r="P11" s="34">
        <v>147</v>
      </c>
      <c r="Q11" s="34">
        <v>0</v>
      </c>
      <c r="R11" s="34">
        <v>140</v>
      </c>
      <c r="S11" s="34">
        <v>684</v>
      </c>
      <c r="T11" s="34">
        <v>0</v>
      </c>
      <c r="U11" s="35">
        <f t="shared" si="3"/>
        <v>1257</v>
      </c>
      <c r="V11" s="35">
        <v>7</v>
      </c>
      <c r="W11" s="35">
        <v>28</v>
      </c>
      <c r="X11" s="35">
        <v>803</v>
      </c>
      <c r="Y11" s="35">
        <v>0</v>
      </c>
      <c r="Z11" s="35">
        <v>0</v>
      </c>
      <c r="AA11" s="35">
        <v>21</v>
      </c>
      <c r="AB11" s="35">
        <v>398</v>
      </c>
      <c r="AC11" s="35">
        <f t="shared" si="4"/>
        <v>1257</v>
      </c>
      <c r="AD11" s="42"/>
      <c r="AE11" s="43"/>
      <c r="AF11" t="s">
        <v>93</v>
      </c>
      <c r="AG11" s="37" t="s">
        <v>94</v>
      </c>
      <c r="AH11" s="38" t="s">
        <v>96</v>
      </c>
      <c r="AI11" s="40">
        <f t="shared" si="5"/>
        <v>1256</v>
      </c>
      <c r="AJ11" s="41">
        <f t="shared" si="6"/>
        <v>70.5648369132856</v>
      </c>
      <c r="AK11" s="41">
        <f t="shared" si="7"/>
        <v>3.8981702466189336</v>
      </c>
      <c r="AL11" s="41">
        <f t="shared" si="8"/>
        <v>23.86634844868735</v>
      </c>
      <c r="AM11" s="41">
        <f t="shared" si="9"/>
        <v>0.5568814638027049</v>
      </c>
      <c r="AN11" s="41">
        <f t="shared" si="10"/>
        <v>1.1137629276054097</v>
      </c>
      <c r="AO11" s="41">
        <f t="shared" si="11"/>
        <v>100</v>
      </c>
      <c r="AP11" s="41">
        <f t="shared" si="12"/>
        <v>21.081941129673826</v>
      </c>
      <c r="AQ11" s="41">
        <f t="shared" si="13"/>
        <v>1.6706443914081146</v>
      </c>
      <c r="AR11" s="41">
        <f t="shared" si="14"/>
        <v>11.694510739856803</v>
      </c>
      <c r="AS11" s="41">
        <f t="shared" si="15"/>
        <v>0</v>
      </c>
      <c r="AT11" s="41">
        <f t="shared" si="16"/>
        <v>11.137629276054097</v>
      </c>
      <c r="AU11" s="41">
        <f t="shared" si="17"/>
        <v>54.41527446300716</v>
      </c>
      <c r="AV11" s="41">
        <f t="shared" si="18"/>
        <v>0</v>
      </c>
      <c r="AW11" s="41">
        <f t="shared" si="19"/>
        <v>100</v>
      </c>
      <c r="AX11" s="41">
        <f t="shared" si="20"/>
        <v>0.5568814638027049</v>
      </c>
      <c r="AY11" s="41">
        <f t="shared" si="21"/>
        <v>2.2275258552108195</v>
      </c>
      <c r="AZ11" s="41">
        <f t="shared" si="22"/>
        <v>63.88225934765315</v>
      </c>
      <c r="BA11" s="41">
        <f t="shared" si="23"/>
        <v>0</v>
      </c>
      <c r="BB11" s="41">
        <f t="shared" si="24"/>
        <v>0</v>
      </c>
      <c r="BC11" s="41">
        <f t="shared" si="25"/>
        <v>1.6706443914081146</v>
      </c>
      <c r="BD11" s="41">
        <f t="shared" si="26"/>
        <v>31.66268894192522</v>
      </c>
      <c r="BE11" s="24">
        <f t="shared" si="27"/>
        <v>100.00000000000001</v>
      </c>
      <c r="BF11" s="43"/>
      <c r="BG11" t="s">
        <v>93</v>
      </c>
      <c r="BH11" t="s">
        <v>94</v>
      </c>
      <c r="BI11" t="s">
        <v>96</v>
      </c>
      <c r="BJ11" s="25">
        <f t="shared" si="28"/>
        <v>7846</v>
      </c>
      <c r="BK11" s="25">
        <f t="shared" si="29"/>
        <v>1256</v>
      </c>
      <c r="BL11" s="24">
        <f t="shared" si="30"/>
        <v>29.4351630867144</v>
      </c>
      <c r="BM11" s="24">
        <f t="shared" si="31"/>
        <v>78.91805887032618</v>
      </c>
      <c r="BN11" s="24">
        <f t="shared" si="32"/>
        <v>31.66268894192522</v>
      </c>
    </row>
    <row r="12" spans="2:66" ht="15">
      <c r="B12" s="32" t="s">
        <v>92</v>
      </c>
      <c r="C12" s="32" t="s">
        <v>93</v>
      </c>
      <c r="D12" s="33" t="s">
        <v>97</v>
      </c>
      <c r="E12" s="33" t="s">
        <v>98</v>
      </c>
      <c r="F12" s="35">
        <v>2826</v>
      </c>
      <c r="G12" s="35">
        <v>590</v>
      </c>
      <c r="H12" s="35">
        <v>439</v>
      </c>
      <c r="I12" s="35">
        <v>5</v>
      </c>
      <c r="J12" s="35">
        <v>116</v>
      </c>
      <c r="K12" s="35">
        <v>25</v>
      </c>
      <c r="L12" s="35">
        <v>5</v>
      </c>
      <c r="M12" s="35">
        <f t="shared" si="2"/>
        <v>590</v>
      </c>
      <c r="N12" s="35">
        <v>430</v>
      </c>
      <c r="O12" s="35">
        <v>15</v>
      </c>
      <c r="P12" s="35">
        <v>5</v>
      </c>
      <c r="Q12" s="35">
        <v>2</v>
      </c>
      <c r="R12" s="35">
        <v>23</v>
      </c>
      <c r="S12" s="35">
        <v>114</v>
      </c>
      <c r="T12" s="44">
        <v>1</v>
      </c>
      <c r="U12" s="35">
        <f t="shared" si="3"/>
        <v>590</v>
      </c>
      <c r="V12" s="35">
        <v>17</v>
      </c>
      <c r="W12" s="35">
        <v>60</v>
      </c>
      <c r="X12" s="35">
        <v>357</v>
      </c>
      <c r="Y12" s="35">
        <v>0</v>
      </c>
      <c r="Z12" s="35">
        <v>0</v>
      </c>
      <c r="AA12" s="35">
        <v>5</v>
      </c>
      <c r="AB12" s="44">
        <f>152-1</f>
        <v>151</v>
      </c>
      <c r="AC12" s="35">
        <f t="shared" si="4"/>
        <v>590</v>
      </c>
      <c r="AD12" s="42"/>
      <c r="AE12" s="42"/>
      <c r="AF12" t="s">
        <v>93</v>
      </c>
      <c r="AG12" s="37" t="s">
        <v>97</v>
      </c>
      <c r="AH12" s="38" t="s">
        <v>98</v>
      </c>
      <c r="AI12" s="40">
        <f t="shared" si="5"/>
        <v>590</v>
      </c>
      <c r="AJ12" s="41">
        <f t="shared" si="6"/>
        <v>74.40677966101696</v>
      </c>
      <c r="AK12" s="41">
        <f t="shared" si="7"/>
        <v>0.847457627118644</v>
      </c>
      <c r="AL12" s="41">
        <f t="shared" si="8"/>
        <v>19.661016949152543</v>
      </c>
      <c r="AM12" s="41">
        <f t="shared" si="9"/>
        <v>4.23728813559322</v>
      </c>
      <c r="AN12" s="41">
        <f t="shared" si="10"/>
        <v>0.847457627118644</v>
      </c>
      <c r="AO12" s="41">
        <f t="shared" si="11"/>
        <v>100</v>
      </c>
      <c r="AP12" s="41">
        <f t="shared" si="12"/>
        <v>72.88135593220339</v>
      </c>
      <c r="AQ12" s="41">
        <f t="shared" si="13"/>
        <v>2.5423728813559325</v>
      </c>
      <c r="AR12" s="41">
        <f t="shared" si="14"/>
        <v>0.847457627118644</v>
      </c>
      <c r="AS12" s="41">
        <f t="shared" si="15"/>
        <v>0.3389830508474576</v>
      </c>
      <c r="AT12" s="41">
        <f t="shared" si="16"/>
        <v>3.898305084745763</v>
      </c>
      <c r="AU12" s="41">
        <f t="shared" si="17"/>
        <v>19.322033898305087</v>
      </c>
      <c r="AV12" s="41">
        <f t="shared" si="18"/>
        <v>0.1694915254237288</v>
      </c>
      <c r="AW12" s="41">
        <f t="shared" si="19"/>
        <v>100</v>
      </c>
      <c r="AX12" s="41">
        <f t="shared" si="20"/>
        <v>2.8813559322033897</v>
      </c>
      <c r="AY12" s="41">
        <f t="shared" si="21"/>
        <v>10.16949152542373</v>
      </c>
      <c r="AZ12" s="41">
        <f t="shared" si="22"/>
        <v>60.50847457627119</v>
      </c>
      <c r="BA12" s="41">
        <f t="shared" si="23"/>
        <v>0</v>
      </c>
      <c r="BB12" s="41">
        <f t="shared" si="24"/>
        <v>0</v>
      </c>
      <c r="BC12" s="41">
        <f t="shared" si="25"/>
        <v>0.847457627118644</v>
      </c>
      <c r="BD12" s="41">
        <f t="shared" si="26"/>
        <v>25.593220338983052</v>
      </c>
      <c r="BE12" s="24">
        <f t="shared" si="27"/>
        <v>100</v>
      </c>
      <c r="BF12" s="42"/>
      <c r="BG12" t="s">
        <v>93</v>
      </c>
      <c r="BH12" t="s">
        <v>97</v>
      </c>
      <c r="BI12" t="s">
        <v>98</v>
      </c>
      <c r="BJ12" s="25">
        <f t="shared" si="28"/>
        <v>2826</v>
      </c>
      <c r="BK12" s="25">
        <f t="shared" si="29"/>
        <v>590</v>
      </c>
      <c r="BL12" s="24">
        <f t="shared" si="30"/>
        <v>25.593220338983052</v>
      </c>
      <c r="BM12" s="24">
        <f t="shared" si="31"/>
        <v>27.118644067796616</v>
      </c>
      <c r="BN12" s="24">
        <f t="shared" si="32"/>
        <v>25.593220338983052</v>
      </c>
    </row>
    <row r="13" spans="2:66" ht="15">
      <c r="B13" s="32" t="s">
        <v>92</v>
      </c>
      <c r="C13" s="32" t="s">
        <v>93</v>
      </c>
      <c r="D13" s="33" t="s">
        <v>97</v>
      </c>
      <c r="E13" s="33" t="s">
        <v>99</v>
      </c>
      <c r="F13" s="35">
        <v>5013</v>
      </c>
      <c r="G13" s="35">
        <v>993</v>
      </c>
      <c r="H13" s="35">
        <v>795</v>
      </c>
      <c r="I13" s="35">
        <v>57</v>
      </c>
      <c r="J13" s="35">
        <v>118</v>
      </c>
      <c r="K13" s="35">
        <v>23</v>
      </c>
      <c r="L13" s="35">
        <v>0</v>
      </c>
      <c r="M13" s="35">
        <f t="shared" si="2"/>
        <v>993</v>
      </c>
      <c r="N13" s="35">
        <v>621</v>
      </c>
      <c r="O13" s="35">
        <v>31</v>
      </c>
      <c r="P13" s="35">
        <v>44</v>
      </c>
      <c r="Q13" s="35">
        <v>0</v>
      </c>
      <c r="R13" s="35">
        <v>48</v>
      </c>
      <c r="S13" s="35">
        <v>248</v>
      </c>
      <c r="T13" s="44">
        <v>1</v>
      </c>
      <c r="U13" s="35">
        <f t="shared" si="3"/>
        <v>993</v>
      </c>
      <c r="V13" s="35">
        <v>80</v>
      </c>
      <c r="W13" s="35">
        <v>42</v>
      </c>
      <c r="X13" s="35">
        <v>721</v>
      </c>
      <c r="Y13" s="35">
        <v>9</v>
      </c>
      <c r="Z13" s="35">
        <v>7</v>
      </c>
      <c r="AA13" s="35">
        <v>28</v>
      </c>
      <c r="AB13" s="35">
        <v>106</v>
      </c>
      <c r="AC13" s="35">
        <f t="shared" si="4"/>
        <v>993</v>
      </c>
      <c r="AD13" s="42"/>
      <c r="AF13" t="s">
        <v>93</v>
      </c>
      <c r="AG13" s="37" t="s">
        <v>97</v>
      </c>
      <c r="AH13" s="38" t="s">
        <v>99</v>
      </c>
      <c r="AI13" s="40">
        <f t="shared" si="5"/>
        <v>993</v>
      </c>
      <c r="AJ13" s="41">
        <f t="shared" si="6"/>
        <v>80.06042296072508</v>
      </c>
      <c r="AK13" s="41">
        <f t="shared" si="7"/>
        <v>5.740181268882175</v>
      </c>
      <c r="AL13" s="41">
        <f t="shared" si="8"/>
        <v>11.88318227593152</v>
      </c>
      <c r="AM13" s="41">
        <f t="shared" si="9"/>
        <v>2.3162134944612287</v>
      </c>
      <c r="AN13" s="41">
        <f t="shared" si="10"/>
        <v>0</v>
      </c>
      <c r="AO13" s="41">
        <f t="shared" si="11"/>
        <v>99.99999999999999</v>
      </c>
      <c r="AP13" s="41">
        <f t="shared" si="12"/>
        <v>62.53776435045317</v>
      </c>
      <c r="AQ13" s="41">
        <f t="shared" si="13"/>
        <v>3.121852970795569</v>
      </c>
      <c r="AR13" s="41">
        <f t="shared" si="14"/>
        <v>4.431017119838873</v>
      </c>
      <c r="AS13" s="41">
        <f t="shared" si="15"/>
        <v>0</v>
      </c>
      <c r="AT13" s="41">
        <f t="shared" si="16"/>
        <v>4.833836858006042</v>
      </c>
      <c r="AU13" s="41">
        <f t="shared" si="17"/>
        <v>24.97482376636455</v>
      </c>
      <c r="AV13" s="41">
        <f t="shared" si="18"/>
        <v>0.10070493454179255</v>
      </c>
      <c r="AW13" s="41">
        <f t="shared" si="19"/>
        <v>100</v>
      </c>
      <c r="AX13" s="41">
        <f t="shared" si="20"/>
        <v>8.056394763343404</v>
      </c>
      <c r="AY13" s="41">
        <f t="shared" si="21"/>
        <v>4.229607250755287</v>
      </c>
      <c r="AZ13" s="41">
        <f t="shared" si="22"/>
        <v>72.60825780463243</v>
      </c>
      <c r="BA13" s="41">
        <f t="shared" si="23"/>
        <v>0.906344410876133</v>
      </c>
      <c r="BB13" s="41">
        <f t="shared" si="24"/>
        <v>0.7049345417925479</v>
      </c>
      <c r="BC13" s="41">
        <f t="shared" si="25"/>
        <v>2.8197381671701915</v>
      </c>
      <c r="BD13" s="41">
        <f t="shared" si="26"/>
        <v>10.67472306143001</v>
      </c>
      <c r="BE13" s="24">
        <f t="shared" si="27"/>
        <v>100</v>
      </c>
      <c r="BG13" t="s">
        <v>93</v>
      </c>
      <c r="BH13" t="s">
        <v>97</v>
      </c>
      <c r="BI13" t="s">
        <v>99</v>
      </c>
      <c r="BJ13" s="25">
        <f t="shared" si="28"/>
        <v>5013</v>
      </c>
      <c r="BK13" s="25">
        <f t="shared" si="29"/>
        <v>993</v>
      </c>
      <c r="BL13" s="24">
        <f t="shared" si="30"/>
        <v>19.939577039274923</v>
      </c>
      <c r="BM13" s="24">
        <f t="shared" si="31"/>
        <v>37.46223564954683</v>
      </c>
      <c r="BN13" s="24">
        <f t="shared" si="32"/>
        <v>10.67472306143001</v>
      </c>
    </row>
    <row r="14" spans="2:66" ht="15">
      <c r="B14" s="32" t="s">
        <v>92</v>
      </c>
      <c r="C14" s="32" t="s">
        <v>93</v>
      </c>
      <c r="D14" s="33" t="s">
        <v>97</v>
      </c>
      <c r="E14" s="33" t="s">
        <v>100</v>
      </c>
      <c r="F14" s="35">
        <v>1987</v>
      </c>
      <c r="G14" s="35">
        <v>418</v>
      </c>
      <c r="H14" s="35">
        <v>344</v>
      </c>
      <c r="I14" s="35">
        <v>14</v>
      </c>
      <c r="J14" s="35">
        <v>22</v>
      </c>
      <c r="K14" s="35">
        <v>7</v>
      </c>
      <c r="L14" s="35">
        <v>30</v>
      </c>
      <c r="M14" s="35">
        <f t="shared" si="2"/>
        <v>417</v>
      </c>
      <c r="N14" s="35">
        <v>355</v>
      </c>
      <c r="O14" s="35">
        <v>11</v>
      </c>
      <c r="P14" s="35">
        <v>38</v>
      </c>
      <c r="Q14" s="35">
        <v>0</v>
      </c>
      <c r="R14" s="35">
        <v>0</v>
      </c>
      <c r="S14" s="44">
        <f>14-1</f>
        <v>13</v>
      </c>
      <c r="T14" s="35">
        <v>0</v>
      </c>
      <c r="U14" s="35">
        <f t="shared" si="3"/>
        <v>417</v>
      </c>
      <c r="V14" s="35">
        <v>0</v>
      </c>
      <c r="W14" s="35">
        <v>18</v>
      </c>
      <c r="X14" s="35">
        <v>324</v>
      </c>
      <c r="Y14" s="35">
        <v>0</v>
      </c>
      <c r="Z14" s="35">
        <v>0</v>
      </c>
      <c r="AA14" s="35">
        <v>0</v>
      </c>
      <c r="AB14" s="35">
        <v>75</v>
      </c>
      <c r="AC14" s="35">
        <f t="shared" si="4"/>
        <v>417</v>
      </c>
      <c r="AD14" s="42"/>
      <c r="AE14" s="45"/>
      <c r="AF14" t="s">
        <v>93</v>
      </c>
      <c r="AG14" s="37" t="s">
        <v>97</v>
      </c>
      <c r="AH14" s="38" t="s">
        <v>100</v>
      </c>
      <c r="AI14" s="40">
        <f t="shared" si="5"/>
        <v>418</v>
      </c>
      <c r="AJ14" s="41">
        <f t="shared" si="6"/>
        <v>82.49400479616307</v>
      </c>
      <c r="AK14" s="41">
        <f t="shared" si="7"/>
        <v>3.357314148681055</v>
      </c>
      <c r="AL14" s="41">
        <f t="shared" si="8"/>
        <v>5.275779376498801</v>
      </c>
      <c r="AM14" s="41">
        <f t="shared" si="9"/>
        <v>1.6786570743405276</v>
      </c>
      <c r="AN14" s="41">
        <f t="shared" si="10"/>
        <v>7.194244604316546</v>
      </c>
      <c r="AO14" s="41">
        <f t="shared" si="11"/>
        <v>100</v>
      </c>
      <c r="AP14" s="41">
        <f t="shared" si="12"/>
        <v>85.13189448441247</v>
      </c>
      <c r="AQ14" s="41">
        <f t="shared" si="13"/>
        <v>2.6378896882494005</v>
      </c>
      <c r="AR14" s="41">
        <f t="shared" si="14"/>
        <v>9.112709832134293</v>
      </c>
      <c r="AS14" s="41">
        <f t="shared" si="15"/>
        <v>0</v>
      </c>
      <c r="AT14" s="41">
        <f t="shared" si="16"/>
        <v>0</v>
      </c>
      <c r="AU14" s="41">
        <f t="shared" si="17"/>
        <v>3.117505995203837</v>
      </c>
      <c r="AV14" s="41">
        <f t="shared" si="18"/>
        <v>0</v>
      </c>
      <c r="AW14" s="41">
        <f t="shared" si="19"/>
        <v>100.00000000000001</v>
      </c>
      <c r="AX14" s="41">
        <f t="shared" si="20"/>
        <v>0</v>
      </c>
      <c r="AY14" s="41">
        <f t="shared" si="21"/>
        <v>4.316546762589928</v>
      </c>
      <c r="AZ14" s="41">
        <f t="shared" si="22"/>
        <v>77.6978417266187</v>
      </c>
      <c r="BA14" s="41">
        <f t="shared" si="23"/>
        <v>0</v>
      </c>
      <c r="BB14" s="41">
        <f t="shared" si="24"/>
        <v>0</v>
      </c>
      <c r="BC14" s="41">
        <f t="shared" si="25"/>
        <v>0</v>
      </c>
      <c r="BD14" s="41">
        <f t="shared" si="26"/>
        <v>17.985611510791365</v>
      </c>
      <c r="BE14" s="24">
        <f t="shared" si="27"/>
        <v>100</v>
      </c>
      <c r="BF14" s="45"/>
      <c r="BG14" t="s">
        <v>93</v>
      </c>
      <c r="BH14" t="s">
        <v>97</v>
      </c>
      <c r="BI14" t="s">
        <v>100</v>
      </c>
      <c r="BJ14" s="25">
        <f t="shared" si="28"/>
        <v>1987</v>
      </c>
      <c r="BK14" s="25">
        <f t="shared" si="29"/>
        <v>418</v>
      </c>
      <c r="BL14" s="24">
        <f t="shared" si="30"/>
        <v>17.50599520383693</v>
      </c>
      <c r="BM14" s="24">
        <f t="shared" si="31"/>
        <v>14.86810551558753</v>
      </c>
      <c r="BN14" s="24">
        <f t="shared" si="32"/>
        <v>17.985611510791365</v>
      </c>
    </row>
    <row r="15" spans="2:66" ht="14.25">
      <c r="B15" s="32" t="s">
        <v>92</v>
      </c>
      <c r="C15" s="32" t="s">
        <v>93</v>
      </c>
      <c r="D15" s="33" t="s">
        <v>97</v>
      </c>
      <c r="E15" s="33" t="s">
        <v>101</v>
      </c>
      <c r="F15" s="35">
        <v>3488</v>
      </c>
      <c r="G15" s="35">
        <v>773</v>
      </c>
      <c r="H15" s="35">
        <v>661</v>
      </c>
      <c r="I15" s="35">
        <v>32</v>
      </c>
      <c r="J15" s="35">
        <v>65</v>
      </c>
      <c r="K15" s="35">
        <v>6</v>
      </c>
      <c r="L15" s="35">
        <v>9</v>
      </c>
      <c r="M15" s="35">
        <f t="shared" si="2"/>
        <v>773</v>
      </c>
      <c r="N15" s="35">
        <v>726</v>
      </c>
      <c r="O15" s="35">
        <v>6</v>
      </c>
      <c r="P15" s="35">
        <v>23</v>
      </c>
      <c r="Q15" s="35">
        <v>0</v>
      </c>
      <c r="R15" s="35">
        <v>0</v>
      </c>
      <c r="S15" s="35">
        <v>18</v>
      </c>
      <c r="T15" s="35">
        <v>0</v>
      </c>
      <c r="U15" s="35">
        <f t="shared" si="3"/>
        <v>773</v>
      </c>
      <c r="V15" s="35">
        <v>32</v>
      </c>
      <c r="W15" s="35">
        <v>117</v>
      </c>
      <c r="X15" s="35">
        <v>495</v>
      </c>
      <c r="Y15" s="35">
        <v>0</v>
      </c>
      <c r="Z15" s="35">
        <v>6</v>
      </c>
      <c r="AA15" s="35">
        <v>6</v>
      </c>
      <c r="AB15" s="35">
        <v>117</v>
      </c>
      <c r="AC15" s="35">
        <f t="shared" si="4"/>
        <v>773</v>
      </c>
      <c r="AD15" s="42"/>
      <c r="AE15" s="43"/>
      <c r="AF15" t="s">
        <v>93</v>
      </c>
      <c r="AG15" s="37" t="s">
        <v>97</v>
      </c>
      <c r="AH15" s="38" t="s">
        <v>101</v>
      </c>
      <c r="AI15" s="40">
        <f t="shared" si="5"/>
        <v>773</v>
      </c>
      <c r="AJ15" s="41">
        <f t="shared" si="6"/>
        <v>85.51099611901681</v>
      </c>
      <c r="AK15" s="41">
        <f t="shared" si="7"/>
        <v>4.139715394566624</v>
      </c>
      <c r="AL15" s="41">
        <f t="shared" si="8"/>
        <v>8.408796895213454</v>
      </c>
      <c r="AM15" s="41">
        <f t="shared" si="9"/>
        <v>0.7761966364812419</v>
      </c>
      <c r="AN15" s="41">
        <f t="shared" si="10"/>
        <v>1.1642949547218628</v>
      </c>
      <c r="AO15" s="41">
        <f t="shared" si="11"/>
        <v>100</v>
      </c>
      <c r="AP15" s="41">
        <f t="shared" si="12"/>
        <v>93.91979301423027</v>
      </c>
      <c r="AQ15" s="41">
        <f t="shared" si="13"/>
        <v>0.7761966364812419</v>
      </c>
      <c r="AR15" s="41">
        <f t="shared" si="14"/>
        <v>2.975420439844761</v>
      </c>
      <c r="AS15" s="41">
        <f t="shared" si="15"/>
        <v>0</v>
      </c>
      <c r="AT15" s="41">
        <f t="shared" si="16"/>
        <v>0</v>
      </c>
      <c r="AU15" s="41">
        <f t="shared" si="17"/>
        <v>2.3285899094437257</v>
      </c>
      <c r="AV15" s="41">
        <f t="shared" si="18"/>
        <v>0</v>
      </c>
      <c r="AW15" s="41">
        <f t="shared" si="19"/>
        <v>99.99999999999999</v>
      </c>
      <c r="AX15" s="41">
        <f t="shared" si="20"/>
        <v>4.139715394566624</v>
      </c>
      <c r="AY15" s="41">
        <f t="shared" si="21"/>
        <v>15.135834411384216</v>
      </c>
      <c r="AZ15" s="41">
        <f t="shared" si="22"/>
        <v>64.03622250970245</v>
      </c>
      <c r="BA15" s="41">
        <f t="shared" si="23"/>
        <v>0</v>
      </c>
      <c r="BB15" s="41">
        <f t="shared" si="24"/>
        <v>0.7761966364812419</v>
      </c>
      <c r="BC15" s="41">
        <f t="shared" si="25"/>
        <v>0.7761966364812419</v>
      </c>
      <c r="BD15" s="41">
        <f t="shared" si="26"/>
        <v>15.135834411384216</v>
      </c>
      <c r="BE15" s="24">
        <f t="shared" si="27"/>
        <v>100</v>
      </c>
      <c r="BF15" s="43"/>
      <c r="BG15" t="s">
        <v>93</v>
      </c>
      <c r="BH15" t="s">
        <v>97</v>
      </c>
      <c r="BI15" t="s">
        <v>101</v>
      </c>
      <c r="BJ15" s="25">
        <f t="shared" si="28"/>
        <v>3488</v>
      </c>
      <c r="BK15" s="25">
        <f t="shared" si="29"/>
        <v>773</v>
      </c>
      <c r="BL15" s="24">
        <f t="shared" si="30"/>
        <v>14.489003880983182</v>
      </c>
      <c r="BM15" s="24">
        <f t="shared" si="31"/>
        <v>6.0802069857697285</v>
      </c>
      <c r="BN15" s="24">
        <f t="shared" si="32"/>
        <v>15.135834411384216</v>
      </c>
    </row>
    <row r="16" spans="2:66" ht="14.25">
      <c r="B16" s="32" t="s">
        <v>92</v>
      </c>
      <c r="C16" s="32" t="s">
        <v>93</v>
      </c>
      <c r="D16" s="33" t="s">
        <v>97</v>
      </c>
      <c r="E16" s="33" t="s">
        <v>102</v>
      </c>
      <c r="F16" s="35">
        <v>2666</v>
      </c>
      <c r="G16" s="35">
        <v>372</v>
      </c>
      <c r="H16" s="35">
        <v>327</v>
      </c>
      <c r="I16" s="35">
        <v>14</v>
      </c>
      <c r="J16" s="35">
        <v>26</v>
      </c>
      <c r="K16" s="35">
        <v>5</v>
      </c>
      <c r="L16" s="35">
        <v>0</v>
      </c>
      <c r="M16" s="35">
        <f t="shared" si="2"/>
        <v>372</v>
      </c>
      <c r="N16" s="35">
        <v>303</v>
      </c>
      <c r="O16" s="35">
        <v>22</v>
      </c>
      <c r="P16" s="35">
        <v>6</v>
      </c>
      <c r="Q16" s="35">
        <v>0</v>
      </c>
      <c r="R16" s="35">
        <v>19</v>
      </c>
      <c r="S16" s="35">
        <v>22</v>
      </c>
      <c r="T16" s="35">
        <v>0</v>
      </c>
      <c r="U16" s="35">
        <f t="shared" si="3"/>
        <v>372</v>
      </c>
      <c r="V16" s="35">
        <v>5</v>
      </c>
      <c r="W16" s="35">
        <v>55</v>
      </c>
      <c r="X16" s="35">
        <v>277</v>
      </c>
      <c r="Y16" s="35">
        <v>0</v>
      </c>
      <c r="Z16" s="35">
        <v>5</v>
      </c>
      <c r="AA16" s="35">
        <v>18</v>
      </c>
      <c r="AB16" s="35">
        <v>12</v>
      </c>
      <c r="AC16" s="35">
        <f t="shared" si="4"/>
        <v>372</v>
      </c>
      <c r="AD16" s="42"/>
      <c r="AE16" s="43"/>
      <c r="AF16" t="s">
        <v>93</v>
      </c>
      <c r="AG16" s="37" t="s">
        <v>97</v>
      </c>
      <c r="AH16" s="38" t="s">
        <v>102</v>
      </c>
      <c r="AI16" s="40">
        <f t="shared" si="5"/>
        <v>372</v>
      </c>
      <c r="AJ16" s="41">
        <f t="shared" si="6"/>
        <v>87.90322580645162</v>
      </c>
      <c r="AK16" s="41">
        <f t="shared" si="7"/>
        <v>3.763440860215054</v>
      </c>
      <c r="AL16" s="41">
        <f t="shared" si="8"/>
        <v>6.989247311827956</v>
      </c>
      <c r="AM16" s="41">
        <f t="shared" si="9"/>
        <v>1.3440860215053763</v>
      </c>
      <c r="AN16" s="41">
        <f t="shared" si="10"/>
        <v>0</v>
      </c>
      <c r="AO16" s="41">
        <f t="shared" si="11"/>
        <v>100</v>
      </c>
      <c r="AP16" s="41">
        <f t="shared" si="12"/>
        <v>81.45161290322581</v>
      </c>
      <c r="AQ16" s="41">
        <f t="shared" si="13"/>
        <v>5.913978494623656</v>
      </c>
      <c r="AR16" s="41">
        <f t="shared" si="14"/>
        <v>1.6129032258064515</v>
      </c>
      <c r="AS16" s="41">
        <f t="shared" si="15"/>
        <v>0</v>
      </c>
      <c r="AT16" s="41">
        <f t="shared" si="16"/>
        <v>5.10752688172043</v>
      </c>
      <c r="AU16" s="41">
        <f t="shared" si="17"/>
        <v>5.913978494623656</v>
      </c>
      <c r="AV16" s="41">
        <f t="shared" si="18"/>
        <v>0</v>
      </c>
      <c r="AW16" s="41">
        <f t="shared" si="19"/>
        <v>100</v>
      </c>
      <c r="AX16" s="41">
        <f t="shared" si="20"/>
        <v>1.3440860215053763</v>
      </c>
      <c r="AY16" s="41">
        <f t="shared" si="21"/>
        <v>14.78494623655914</v>
      </c>
      <c r="AZ16" s="41">
        <f t="shared" si="22"/>
        <v>74.46236559139786</v>
      </c>
      <c r="BA16" s="41">
        <f t="shared" si="23"/>
        <v>0</v>
      </c>
      <c r="BB16" s="41">
        <f t="shared" si="24"/>
        <v>1.3440860215053763</v>
      </c>
      <c r="BC16" s="41">
        <f t="shared" si="25"/>
        <v>4.838709677419355</v>
      </c>
      <c r="BD16" s="41">
        <f t="shared" si="26"/>
        <v>3.225806451612903</v>
      </c>
      <c r="BE16" s="24">
        <f t="shared" si="27"/>
        <v>100</v>
      </c>
      <c r="BF16" s="43"/>
      <c r="BG16" t="s">
        <v>93</v>
      </c>
      <c r="BH16" t="s">
        <v>97</v>
      </c>
      <c r="BI16" t="s">
        <v>102</v>
      </c>
      <c r="BJ16" s="25">
        <f t="shared" si="28"/>
        <v>2666</v>
      </c>
      <c r="BK16" s="25">
        <f t="shared" si="29"/>
        <v>372</v>
      </c>
      <c r="BL16" s="24">
        <f t="shared" si="30"/>
        <v>12.096774193548386</v>
      </c>
      <c r="BM16" s="24">
        <f t="shared" si="31"/>
        <v>18.548387096774192</v>
      </c>
      <c r="BN16" s="24">
        <f t="shared" si="32"/>
        <v>3.225806451612903</v>
      </c>
    </row>
    <row r="17" spans="2:66" ht="15">
      <c r="B17" s="32" t="s">
        <v>92</v>
      </c>
      <c r="C17" s="32" t="s">
        <v>93</v>
      </c>
      <c r="D17" s="33" t="s">
        <v>97</v>
      </c>
      <c r="E17" s="33" t="s">
        <v>103</v>
      </c>
      <c r="F17" s="35">
        <v>1436</v>
      </c>
      <c r="G17" s="35">
        <v>334</v>
      </c>
      <c r="H17" s="35">
        <v>281</v>
      </c>
      <c r="I17" s="35">
        <v>6</v>
      </c>
      <c r="J17" s="35">
        <v>23</v>
      </c>
      <c r="K17" s="35">
        <v>14</v>
      </c>
      <c r="L17" s="35">
        <v>9</v>
      </c>
      <c r="M17" s="35">
        <f t="shared" si="2"/>
        <v>333</v>
      </c>
      <c r="N17" s="35">
        <v>292</v>
      </c>
      <c r="O17" s="35">
        <v>12</v>
      </c>
      <c r="P17" s="35">
        <v>12</v>
      </c>
      <c r="Q17" s="35">
        <v>0</v>
      </c>
      <c r="R17" s="35">
        <v>0</v>
      </c>
      <c r="S17" s="44">
        <f>19-2</f>
        <v>17</v>
      </c>
      <c r="T17" s="35">
        <v>0</v>
      </c>
      <c r="U17" s="35">
        <f t="shared" si="3"/>
        <v>333</v>
      </c>
      <c r="V17" s="35">
        <v>0</v>
      </c>
      <c r="W17" s="35">
        <v>24</v>
      </c>
      <c r="X17" s="35">
        <v>261</v>
      </c>
      <c r="Y17" s="35">
        <v>0</v>
      </c>
      <c r="Z17" s="35">
        <v>0</v>
      </c>
      <c r="AA17" s="35">
        <v>6</v>
      </c>
      <c r="AB17" s="44">
        <f>43-1</f>
        <v>42</v>
      </c>
      <c r="AC17" s="35">
        <f t="shared" si="4"/>
        <v>333</v>
      </c>
      <c r="AD17" s="42"/>
      <c r="AE17" s="43"/>
      <c r="AF17" t="s">
        <v>93</v>
      </c>
      <c r="AG17" s="37" t="s">
        <v>97</v>
      </c>
      <c r="AH17" s="38" t="s">
        <v>103</v>
      </c>
      <c r="AI17" s="40">
        <f t="shared" si="5"/>
        <v>334</v>
      </c>
      <c r="AJ17" s="41">
        <f t="shared" si="6"/>
        <v>84.38438438438438</v>
      </c>
      <c r="AK17" s="41">
        <f t="shared" si="7"/>
        <v>1.8018018018018018</v>
      </c>
      <c r="AL17" s="41">
        <f t="shared" si="8"/>
        <v>6.906906906906906</v>
      </c>
      <c r="AM17" s="41">
        <f t="shared" si="9"/>
        <v>4.2042042042042045</v>
      </c>
      <c r="AN17" s="41">
        <f t="shared" si="10"/>
        <v>2.7027027027027026</v>
      </c>
      <c r="AO17" s="41">
        <f t="shared" si="11"/>
        <v>100</v>
      </c>
      <c r="AP17" s="41">
        <f t="shared" si="12"/>
        <v>87.68768768768768</v>
      </c>
      <c r="AQ17" s="41">
        <f t="shared" si="13"/>
        <v>3.6036036036036037</v>
      </c>
      <c r="AR17" s="41">
        <f t="shared" si="14"/>
        <v>3.6036036036036037</v>
      </c>
      <c r="AS17" s="41">
        <f t="shared" si="15"/>
        <v>0</v>
      </c>
      <c r="AT17" s="41">
        <f t="shared" si="16"/>
        <v>0</v>
      </c>
      <c r="AU17" s="41">
        <f t="shared" si="17"/>
        <v>5.105105105105105</v>
      </c>
      <c r="AV17" s="41">
        <f t="shared" si="18"/>
        <v>0</v>
      </c>
      <c r="AW17" s="41">
        <f t="shared" si="19"/>
        <v>100</v>
      </c>
      <c r="AX17" s="41">
        <f t="shared" si="20"/>
        <v>0</v>
      </c>
      <c r="AY17" s="41">
        <f t="shared" si="21"/>
        <v>7.207207207207207</v>
      </c>
      <c r="AZ17" s="41">
        <f t="shared" si="22"/>
        <v>78.37837837837837</v>
      </c>
      <c r="BA17" s="41">
        <f t="shared" si="23"/>
        <v>0</v>
      </c>
      <c r="BB17" s="41">
        <f t="shared" si="24"/>
        <v>0</v>
      </c>
      <c r="BC17" s="41">
        <f t="shared" si="25"/>
        <v>1.8018018018018018</v>
      </c>
      <c r="BD17" s="41">
        <f t="shared" si="26"/>
        <v>12.612612612612612</v>
      </c>
      <c r="BE17" s="24">
        <f t="shared" si="27"/>
        <v>99.99999999999999</v>
      </c>
      <c r="BF17" s="43"/>
      <c r="BG17" t="s">
        <v>93</v>
      </c>
      <c r="BH17" t="s">
        <v>97</v>
      </c>
      <c r="BI17" t="s">
        <v>103</v>
      </c>
      <c r="BJ17" s="25">
        <f t="shared" si="28"/>
        <v>1436</v>
      </c>
      <c r="BK17" s="25">
        <f t="shared" si="29"/>
        <v>334</v>
      </c>
      <c r="BL17" s="24">
        <f t="shared" si="30"/>
        <v>15.615615615615614</v>
      </c>
      <c r="BM17" s="24">
        <f t="shared" si="31"/>
        <v>12.312312312312311</v>
      </c>
      <c r="BN17" s="24">
        <f t="shared" si="32"/>
        <v>12.612612612612612</v>
      </c>
    </row>
    <row r="18" spans="2:66" ht="14.25">
      <c r="B18" s="32" t="s">
        <v>92</v>
      </c>
      <c r="C18" s="32" t="s">
        <v>93</v>
      </c>
      <c r="D18" s="33" t="s">
        <v>97</v>
      </c>
      <c r="E18" s="33" t="s">
        <v>104</v>
      </c>
      <c r="F18" s="35">
        <v>1464</v>
      </c>
      <c r="G18" s="35">
        <v>529</v>
      </c>
      <c r="H18" s="35">
        <v>291</v>
      </c>
      <c r="I18" s="35">
        <v>15</v>
      </c>
      <c r="J18" s="35">
        <v>184</v>
      </c>
      <c r="K18" s="35">
        <v>10</v>
      </c>
      <c r="L18" s="35">
        <v>30</v>
      </c>
      <c r="M18" s="35">
        <f t="shared" si="2"/>
        <v>530</v>
      </c>
      <c r="N18" s="35">
        <v>315</v>
      </c>
      <c r="O18" s="35">
        <v>10</v>
      </c>
      <c r="P18" s="35">
        <v>4</v>
      </c>
      <c r="Q18" s="35">
        <v>0</v>
      </c>
      <c r="R18" s="35">
        <v>10</v>
      </c>
      <c r="S18" s="35">
        <v>191</v>
      </c>
      <c r="T18" s="35">
        <v>0</v>
      </c>
      <c r="U18" s="35">
        <f t="shared" si="3"/>
        <v>530</v>
      </c>
      <c r="V18" s="35">
        <v>4</v>
      </c>
      <c r="W18" s="35">
        <v>62</v>
      </c>
      <c r="X18" s="35">
        <v>186</v>
      </c>
      <c r="Y18" s="35">
        <v>0</v>
      </c>
      <c r="Z18" s="35">
        <v>5</v>
      </c>
      <c r="AA18" s="35">
        <v>14</v>
      </c>
      <c r="AB18" s="35">
        <v>259</v>
      </c>
      <c r="AC18" s="35">
        <f t="shared" si="4"/>
        <v>530</v>
      </c>
      <c r="AD18" s="42"/>
      <c r="AE18" s="43"/>
      <c r="AF18" t="s">
        <v>93</v>
      </c>
      <c r="AG18" s="37" t="s">
        <v>97</v>
      </c>
      <c r="AH18" s="38" t="s">
        <v>104</v>
      </c>
      <c r="AI18" s="40">
        <f t="shared" si="5"/>
        <v>529</v>
      </c>
      <c r="AJ18" s="41">
        <f t="shared" si="6"/>
        <v>54.90566037735849</v>
      </c>
      <c r="AK18" s="41">
        <f t="shared" si="7"/>
        <v>2.8301886792452833</v>
      </c>
      <c r="AL18" s="41">
        <f t="shared" si="8"/>
        <v>34.71698113207547</v>
      </c>
      <c r="AM18" s="41">
        <f t="shared" si="9"/>
        <v>1.8867924528301887</v>
      </c>
      <c r="AN18" s="41">
        <f t="shared" si="10"/>
        <v>5.660377358490567</v>
      </c>
      <c r="AO18" s="41">
        <f t="shared" si="11"/>
        <v>99.99999999999999</v>
      </c>
      <c r="AP18" s="41">
        <f t="shared" si="12"/>
        <v>59.43396226415094</v>
      </c>
      <c r="AQ18" s="41">
        <f t="shared" si="13"/>
        <v>1.8867924528301887</v>
      </c>
      <c r="AR18" s="41">
        <f t="shared" si="14"/>
        <v>0.7547169811320755</v>
      </c>
      <c r="AS18" s="41">
        <f t="shared" si="15"/>
        <v>0</v>
      </c>
      <c r="AT18" s="41">
        <f t="shared" si="16"/>
        <v>1.8867924528301887</v>
      </c>
      <c r="AU18" s="41">
        <f t="shared" si="17"/>
        <v>36.0377358490566</v>
      </c>
      <c r="AV18" s="41">
        <f t="shared" si="18"/>
        <v>0</v>
      </c>
      <c r="AW18" s="41">
        <f t="shared" si="19"/>
        <v>100</v>
      </c>
      <c r="AX18" s="41">
        <f t="shared" si="20"/>
        <v>0.7547169811320755</v>
      </c>
      <c r="AY18" s="41">
        <f t="shared" si="21"/>
        <v>11.69811320754717</v>
      </c>
      <c r="AZ18" s="41">
        <f t="shared" si="22"/>
        <v>35.094339622641506</v>
      </c>
      <c r="BA18" s="41">
        <f t="shared" si="23"/>
        <v>0</v>
      </c>
      <c r="BB18" s="41">
        <f t="shared" si="24"/>
        <v>0.9433962264150944</v>
      </c>
      <c r="BC18" s="41">
        <f t="shared" si="25"/>
        <v>2.6415094339622645</v>
      </c>
      <c r="BD18" s="41">
        <f t="shared" si="26"/>
        <v>48.867924528301884</v>
      </c>
      <c r="BE18" s="24">
        <f t="shared" si="27"/>
        <v>100</v>
      </c>
      <c r="BF18" s="43"/>
      <c r="BG18" t="s">
        <v>93</v>
      </c>
      <c r="BH18" t="s">
        <v>97</v>
      </c>
      <c r="BI18" t="s">
        <v>104</v>
      </c>
      <c r="BJ18" s="25">
        <f t="shared" si="28"/>
        <v>1464</v>
      </c>
      <c r="BK18" s="25">
        <f t="shared" si="29"/>
        <v>529</v>
      </c>
      <c r="BL18" s="24">
        <f t="shared" si="30"/>
        <v>45.0943396226415</v>
      </c>
      <c r="BM18" s="24">
        <f t="shared" si="31"/>
        <v>40.56603773584906</v>
      </c>
      <c r="BN18" s="24">
        <f t="shared" si="32"/>
        <v>48.867924528301884</v>
      </c>
    </row>
    <row r="19" spans="2:66" ht="15">
      <c r="B19" s="32" t="s">
        <v>92</v>
      </c>
      <c r="C19" s="32" t="s">
        <v>93</v>
      </c>
      <c r="D19" s="33" t="s">
        <v>97</v>
      </c>
      <c r="E19" s="33" t="s">
        <v>105</v>
      </c>
      <c r="F19" s="35">
        <v>2681</v>
      </c>
      <c r="G19" s="35">
        <v>518</v>
      </c>
      <c r="H19" s="35">
        <v>292</v>
      </c>
      <c r="I19" s="35">
        <v>14</v>
      </c>
      <c r="J19" s="35">
        <v>111</v>
      </c>
      <c r="K19" s="35">
        <v>62</v>
      </c>
      <c r="L19" s="35">
        <v>39</v>
      </c>
      <c r="M19" s="35">
        <f t="shared" si="2"/>
        <v>518</v>
      </c>
      <c r="N19" s="35">
        <v>258</v>
      </c>
      <c r="O19" s="35">
        <v>28</v>
      </c>
      <c r="P19" s="35">
        <v>11</v>
      </c>
      <c r="Q19" s="35">
        <v>0</v>
      </c>
      <c r="R19" s="35">
        <v>6</v>
      </c>
      <c r="S19" s="44">
        <f>216-1</f>
        <v>215</v>
      </c>
      <c r="T19" s="35">
        <v>0</v>
      </c>
      <c r="U19" s="35">
        <f t="shared" si="3"/>
        <v>518</v>
      </c>
      <c r="V19" s="35">
        <v>9</v>
      </c>
      <c r="W19" s="35">
        <v>61</v>
      </c>
      <c r="X19" s="35">
        <v>315</v>
      </c>
      <c r="Y19" s="35">
        <v>0</v>
      </c>
      <c r="Z19" s="35">
        <v>0</v>
      </c>
      <c r="AA19" s="35">
        <v>21</v>
      </c>
      <c r="AB19" s="35">
        <v>112</v>
      </c>
      <c r="AC19" s="35">
        <f t="shared" si="4"/>
        <v>518</v>
      </c>
      <c r="AD19" s="42"/>
      <c r="AE19" s="42"/>
      <c r="AF19" t="s">
        <v>93</v>
      </c>
      <c r="AG19" s="37" t="s">
        <v>97</v>
      </c>
      <c r="AH19" s="38" t="s">
        <v>105</v>
      </c>
      <c r="AI19" s="40">
        <f t="shared" si="5"/>
        <v>518</v>
      </c>
      <c r="AJ19" s="41">
        <f t="shared" si="6"/>
        <v>56.37065637065637</v>
      </c>
      <c r="AK19" s="41">
        <f t="shared" si="7"/>
        <v>2.7027027027027026</v>
      </c>
      <c r="AL19" s="41">
        <f t="shared" si="8"/>
        <v>21.428571428571427</v>
      </c>
      <c r="AM19" s="41">
        <f t="shared" si="9"/>
        <v>11.96911196911197</v>
      </c>
      <c r="AN19" s="41">
        <f t="shared" si="10"/>
        <v>7.5289575289575295</v>
      </c>
      <c r="AO19" s="41">
        <f t="shared" si="11"/>
        <v>100</v>
      </c>
      <c r="AP19" s="41">
        <f t="shared" si="12"/>
        <v>49.80694980694981</v>
      </c>
      <c r="AQ19" s="41">
        <f t="shared" si="13"/>
        <v>5.405405405405405</v>
      </c>
      <c r="AR19" s="41">
        <f t="shared" si="14"/>
        <v>2.1235521235521233</v>
      </c>
      <c r="AS19" s="41">
        <f t="shared" si="15"/>
        <v>0</v>
      </c>
      <c r="AT19" s="41">
        <f t="shared" si="16"/>
        <v>1.1583011583011582</v>
      </c>
      <c r="AU19" s="41">
        <f t="shared" si="17"/>
        <v>41.50579150579151</v>
      </c>
      <c r="AV19" s="41">
        <f t="shared" si="18"/>
        <v>0</v>
      </c>
      <c r="AW19" s="41">
        <f t="shared" si="19"/>
        <v>100</v>
      </c>
      <c r="AX19" s="41">
        <f t="shared" si="20"/>
        <v>1.7374517374517375</v>
      </c>
      <c r="AY19" s="41">
        <f t="shared" si="21"/>
        <v>11.776061776061777</v>
      </c>
      <c r="AZ19" s="41">
        <f t="shared" si="22"/>
        <v>60.810810810810814</v>
      </c>
      <c r="BA19" s="41">
        <f t="shared" si="23"/>
        <v>0</v>
      </c>
      <c r="BB19" s="41">
        <f t="shared" si="24"/>
        <v>0</v>
      </c>
      <c r="BC19" s="41">
        <f t="shared" si="25"/>
        <v>4.054054054054054</v>
      </c>
      <c r="BD19" s="41">
        <f t="shared" si="26"/>
        <v>21.62162162162162</v>
      </c>
      <c r="BE19" s="24">
        <f t="shared" si="27"/>
        <v>100</v>
      </c>
      <c r="BF19" s="42"/>
      <c r="BG19" t="s">
        <v>93</v>
      </c>
      <c r="BH19" t="s">
        <v>97</v>
      </c>
      <c r="BI19" t="s">
        <v>105</v>
      </c>
      <c r="BJ19" s="25">
        <f t="shared" si="28"/>
        <v>2681</v>
      </c>
      <c r="BK19" s="25">
        <f t="shared" si="29"/>
        <v>518</v>
      </c>
      <c r="BL19" s="24">
        <f t="shared" si="30"/>
        <v>43.62934362934362</v>
      </c>
      <c r="BM19" s="24">
        <f t="shared" si="31"/>
        <v>50.1930501930502</v>
      </c>
      <c r="BN19" s="24">
        <f t="shared" si="32"/>
        <v>21.62162162162162</v>
      </c>
    </row>
    <row r="20" spans="2:66" ht="14.25">
      <c r="B20" s="32" t="s">
        <v>92</v>
      </c>
      <c r="C20" s="32" t="s">
        <v>93</v>
      </c>
      <c r="D20" s="33" t="s">
        <v>97</v>
      </c>
      <c r="E20" s="33" t="s">
        <v>106</v>
      </c>
      <c r="F20" s="35">
        <v>554</v>
      </c>
      <c r="G20" s="35">
        <v>83</v>
      </c>
      <c r="H20" s="35">
        <v>72</v>
      </c>
      <c r="I20" s="35">
        <v>2</v>
      </c>
      <c r="J20" s="35">
        <v>6</v>
      </c>
      <c r="K20" s="35">
        <v>2</v>
      </c>
      <c r="L20" s="35">
        <v>2</v>
      </c>
      <c r="M20" s="35">
        <f t="shared" si="2"/>
        <v>84</v>
      </c>
      <c r="N20" s="35">
        <v>79</v>
      </c>
      <c r="O20" s="35">
        <v>3</v>
      </c>
      <c r="P20" s="35">
        <v>2</v>
      </c>
      <c r="Q20" s="35">
        <v>0</v>
      </c>
      <c r="R20" s="35">
        <v>0</v>
      </c>
      <c r="S20" s="35">
        <v>0</v>
      </c>
      <c r="T20" s="35">
        <v>0</v>
      </c>
      <c r="U20" s="35">
        <f t="shared" si="3"/>
        <v>84</v>
      </c>
      <c r="V20" s="35">
        <v>1</v>
      </c>
      <c r="W20" s="35">
        <v>0</v>
      </c>
      <c r="X20" s="35">
        <v>68</v>
      </c>
      <c r="Y20" s="35">
        <v>0</v>
      </c>
      <c r="Z20" s="35">
        <v>0</v>
      </c>
      <c r="AA20" s="35">
        <v>6</v>
      </c>
      <c r="AB20" s="35">
        <v>9</v>
      </c>
      <c r="AC20" s="35">
        <f t="shared" si="4"/>
        <v>84</v>
      </c>
      <c r="AD20" s="42"/>
      <c r="AF20" t="s">
        <v>93</v>
      </c>
      <c r="AG20" s="37" t="s">
        <v>97</v>
      </c>
      <c r="AH20" s="38" t="s">
        <v>106</v>
      </c>
      <c r="AI20" s="40">
        <f t="shared" si="5"/>
        <v>83</v>
      </c>
      <c r="AJ20" s="41">
        <f t="shared" si="6"/>
        <v>85.71428571428571</v>
      </c>
      <c r="AK20" s="41">
        <f t="shared" si="7"/>
        <v>2.380952380952381</v>
      </c>
      <c r="AL20" s="41">
        <f t="shared" si="8"/>
        <v>7.142857142857142</v>
      </c>
      <c r="AM20" s="41">
        <f t="shared" si="9"/>
        <v>2.380952380952381</v>
      </c>
      <c r="AN20" s="41">
        <f t="shared" si="10"/>
        <v>2.380952380952381</v>
      </c>
      <c r="AO20" s="41">
        <f t="shared" si="11"/>
        <v>99.99999999999999</v>
      </c>
      <c r="AP20" s="41">
        <f t="shared" si="12"/>
        <v>94.04761904761905</v>
      </c>
      <c r="AQ20" s="41">
        <f t="shared" si="13"/>
        <v>3.571428571428571</v>
      </c>
      <c r="AR20" s="41">
        <f t="shared" si="14"/>
        <v>2.380952380952381</v>
      </c>
      <c r="AS20" s="41">
        <f t="shared" si="15"/>
        <v>0</v>
      </c>
      <c r="AT20" s="41">
        <f t="shared" si="16"/>
        <v>0</v>
      </c>
      <c r="AU20" s="41">
        <f t="shared" si="17"/>
        <v>0</v>
      </c>
      <c r="AV20" s="41">
        <f t="shared" si="18"/>
        <v>0</v>
      </c>
      <c r="AW20" s="41">
        <f t="shared" si="19"/>
        <v>100</v>
      </c>
      <c r="AX20" s="41">
        <f t="shared" si="20"/>
        <v>1.1904761904761905</v>
      </c>
      <c r="AY20" s="41">
        <f t="shared" si="21"/>
        <v>0</v>
      </c>
      <c r="AZ20" s="41">
        <f t="shared" si="22"/>
        <v>80.95238095238095</v>
      </c>
      <c r="BA20" s="41">
        <f t="shared" si="23"/>
        <v>0</v>
      </c>
      <c r="BB20" s="41">
        <f t="shared" si="24"/>
        <v>0</v>
      </c>
      <c r="BC20" s="41">
        <f t="shared" si="25"/>
        <v>7.142857142857142</v>
      </c>
      <c r="BD20" s="41">
        <f t="shared" si="26"/>
        <v>10.714285714285714</v>
      </c>
      <c r="BE20" s="24">
        <f t="shared" si="27"/>
        <v>99.99999999999999</v>
      </c>
      <c r="BG20" t="s">
        <v>93</v>
      </c>
      <c r="BH20" t="s">
        <v>97</v>
      </c>
      <c r="BI20" t="s">
        <v>106</v>
      </c>
      <c r="BJ20" s="25">
        <f t="shared" si="28"/>
        <v>554</v>
      </c>
      <c r="BK20" s="25">
        <f t="shared" si="29"/>
        <v>83</v>
      </c>
      <c r="BL20" s="24">
        <f t="shared" si="30"/>
        <v>14.285714285714286</v>
      </c>
      <c r="BM20" s="24">
        <f t="shared" si="31"/>
        <v>5.9523809523809526</v>
      </c>
      <c r="BN20" s="24">
        <f t="shared" si="32"/>
        <v>10.714285714285714</v>
      </c>
    </row>
    <row r="21" spans="2:66" ht="15">
      <c r="B21" s="32" t="s">
        <v>92</v>
      </c>
      <c r="C21" s="32" t="s">
        <v>93</v>
      </c>
      <c r="D21" s="33" t="s">
        <v>97</v>
      </c>
      <c r="E21" s="33" t="s">
        <v>107</v>
      </c>
      <c r="F21" s="35">
        <v>2202</v>
      </c>
      <c r="G21" s="35">
        <v>421</v>
      </c>
      <c r="H21" s="35">
        <v>366</v>
      </c>
      <c r="I21" s="35">
        <v>22</v>
      </c>
      <c r="J21" s="35">
        <v>29</v>
      </c>
      <c r="K21" s="35">
        <v>0</v>
      </c>
      <c r="L21" s="35">
        <v>4</v>
      </c>
      <c r="M21" s="35">
        <f t="shared" si="2"/>
        <v>421</v>
      </c>
      <c r="N21" s="35">
        <v>228</v>
      </c>
      <c r="O21" s="35">
        <v>31</v>
      </c>
      <c r="P21" s="35">
        <v>32</v>
      </c>
      <c r="Q21" s="35">
        <v>3</v>
      </c>
      <c r="R21" s="35">
        <v>44</v>
      </c>
      <c r="S21" s="35">
        <v>83</v>
      </c>
      <c r="T21" s="35">
        <v>0</v>
      </c>
      <c r="U21" s="35">
        <f t="shared" si="3"/>
        <v>421</v>
      </c>
      <c r="V21" s="35">
        <v>0</v>
      </c>
      <c r="W21" s="35">
        <v>29</v>
      </c>
      <c r="X21" s="35">
        <v>303</v>
      </c>
      <c r="Y21" s="35">
        <v>0</v>
      </c>
      <c r="Z21" s="35">
        <v>3</v>
      </c>
      <c r="AA21" s="35">
        <v>17</v>
      </c>
      <c r="AB21" s="44">
        <f>70-1</f>
        <v>69</v>
      </c>
      <c r="AC21" s="35">
        <f t="shared" si="4"/>
        <v>421</v>
      </c>
      <c r="AD21" s="42"/>
      <c r="AE21" s="45"/>
      <c r="AF21" t="s">
        <v>93</v>
      </c>
      <c r="AG21" s="37" t="s">
        <v>97</v>
      </c>
      <c r="AH21" s="38" t="s">
        <v>107</v>
      </c>
      <c r="AI21" s="40">
        <f t="shared" si="5"/>
        <v>421</v>
      </c>
      <c r="AJ21" s="41">
        <f t="shared" si="6"/>
        <v>86.93586698337292</v>
      </c>
      <c r="AK21" s="41">
        <f t="shared" si="7"/>
        <v>5.225653206650831</v>
      </c>
      <c r="AL21" s="41">
        <f t="shared" si="8"/>
        <v>6.88836104513064</v>
      </c>
      <c r="AM21" s="41">
        <f t="shared" si="9"/>
        <v>0</v>
      </c>
      <c r="AN21" s="41">
        <f t="shared" si="10"/>
        <v>0.9501187648456058</v>
      </c>
      <c r="AO21" s="41">
        <f t="shared" si="11"/>
        <v>100</v>
      </c>
      <c r="AP21" s="41">
        <f t="shared" si="12"/>
        <v>54.156769596199524</v>
      </c>
      <c r="AQ21" s="41">
        <f t="shared" si="13"/>
        <v>7.363420427553444</v>
      </c>
      <c r="AR21" s="41">
        <f t="shared" si="14"/>
        <v>7.600950118764846</v>
      </c>
      <c r="AS21" s="41">
        <f t="shared" si="15"/>
        <v>0.7125890736342043</v>
      </c>
      <c r="AT21" s="41">
        <f t="shared" si="16"/>
        <v>10.451306413301662</v>
      </c>
      <c r="AU21" s="41">
        <f t="shared" si="17"/>
        <v>19.71496437054632</v>
      </c>
      <c r="AV21" s="41">
        <f t="shared" si="18"/>
        <v>0</v>
      </c>
      <c r="AW21" s="41">
        <f t="shared" si="19"/>
        <v>100</v>
      </c>
      <c r="AX21" s="41">
        <f t="shared" si="20"/>
        <v>0</v>
      </c>
      <c r="AY21" s="41">
        <f t="shared" si="21"/>
        <v>6.88836104513064</v>
      </c>
      <c r="AZ21" s="41">
        <f t="shared" si="22"/>
        <v>71.97149643705463</v>
      </c>
      <c r="BA21" s="41">
        <f t="shared" si="23"/>
        <v>0</v>
      </c>
      <c r="BB21" s="41">
        <f t="shared" si="24"/>
        <v>0.7125890736342043</v>
      </c>
      <c r="BC21" s="41">
        <f t="shared" si="25"/>
        <v>4.038004750593824</v>
      </c>
      <c r="BD21" s="41">
        <f t="shared" si="26"/>
        <v>16.389548693586697</v>
      </c>
      <c r="BE21" s="24">
        <f t="shared" si="27"/>
        <v>100</v>
      </c>
      <c r="BF21" s="45"/>
      <c r="BG21" t="s">
        <v>93</v>
      </c>
      <c r="BH21" t="s">
        <v>97</v>
      </c>
      <c r="BI21" t="s">
        <v>107</v>
      </c>
      <c r="BJ21" s="25">
        <f t="shared" si="28"/>
        <v>2202</v>
      </c>
      <c r="BK21" s="25">
        <f t="shared" si="29"/>
        <v>421</v>
      </c>
      <c r="BL21" s="24">
        <f t="shared" si="30"/>
        <v>13.064133016627077</v>
      </c>
      <c r="BM21" s="24">
        <f t="shared" si="31"/>
        <v>45.843230403800476</v>
      </c>
      <c r="BN21" s="24">
        <f t="shared" si="32"/>
        <v>16.389548693586697</v>
      </c>
    </row>
    <row r="22" spans="2:66" ht="15">
      <c r="B22" s="32" t="s">
        <v>92</v>
      </c>
      <c r="C22" s="32" t="s">
        <v>93</v>
      </c>
      <c r="D22" s="33" t="s">
        <v>108</v>
      </c>
      <c r="E22" s="33" t="s">
        <v>109</v>
      </c>
      <c r="F22" s="34">
        <v>3296</v>
      </c>
      <c r="G22" s="34">
        <v>580</v>
      </c>
      <c r="H22" s="34">
        <v>150</v>
      </c>
      <c r="I22" s="34">
        <v>7</v>
      </c>
      <c r="J22" s="34">
        <v>422</v>
      </c>
      <c r="K22" s="34">
        <v>3</v>
      </c>
      <c r="L22" s="34">
        <v>0</v>
      </c>
      <c r="M22" s="35">
        <f t="shared" si="2"/>
        <v>582</v>
      </c>
      <c r="N22" s="34">
        <v>461</v>
      </c>
      <c r="O22" s="34">
        <v>49</v>
      </c>
      <c r="P22" s="34">
        <v>19</v>
      </c>
      <c r="Q22" s="34">
        <v>0</v>
      </c>
      <c r="R22" s="34">
        <v>0</v>
      </c>
      <c r="S22" s="34">
        <v>52</v>
      </c>
      <c r="T22" s="36">
        <v>1</v>
      </c>
      <c r="U22" s="35">
        <f t="shared" si="3"/>
        <v>582</v>
      </c>
      <c r="V22" s="35">
        <v>0</v>
      </c>
      <c r="W22" s="35">
        <v>3</v>
      </c>
      <c r="X22" s="35">
        <v>442</v>
      </c>
      <c r="Y22" s="35">
        <v>0</v>
      </c>
      <c r="Z22" s="35">
        <v>0</v>
      </c>
      <c r="AA22" s="35">
        <v>14</v>
      </c>
      <c r="AB22" s="35">
        <v>123</v>
      </c>
      <c r="AC22" s="35">
        <f t="shared" si="4"/>
        <v>582</v>
      </c>
      <c r="AD22" s="42"/>
      <c r="AE22" s="43"/>
      <c r="AF22" t="s">
        <v>93</v>
      </c>
      <c r="AG22" s="37" t="s">
        <v>108</v>
      </c>
      <c r="AH22" s="38" t="s">
        <v>109</v>
      </c>
      <c r="AI22" s="40">
        <f t="shared" si="5"/>
        <v>580</v>
      </c>
      <c r="AJ22" s="41">
        <f t="shared" si="6"/>
        <v>25.773195876288657</v>
      </c>
      <c r="AK22" s="41">
        <f t="shared" si="7"/>
        <v>1.202749140893471</v>
      </c>
      <c r="AL22" s="41">
        <f t="shared" si="8"/>
        <v>72.5085910652921</v>
      </c>
      <c r="AM22" s="41">
        <f t="shared" si="9"/>
        <v>0.5154639175257731</v>
      </c>
      <c r="AN22" s="41">
        <f t="shared" si="10"/>
        <v>0</v>
      </c>
      <c r="AO22" s="41">
        <f t="shared" si="11"/>
        <v>100</v>
      </c>
      <c r="AP22" s="41">
        <f t="shared" si="12"/>
        <v>79.20962199312714</v>
      </c>
      <c r="AQ22" s="41">
        <f t="shared" si="13"/>
        <v>8.419243986254296</v>
      </c>
      <c r="AR22" s="41">
        <f t="shared" si="14"/>
        <v>3.264604810996564</v>
      </c>
      <c r="AS22" s="41">
        <f t="shared" si="15"/>
        <v>0</v>
      </c>
      <c r="AT22" s="41">
        <f t="shared" si="16"/>
        <v>0</v>
      </c>
      <c r="AU22" s="41">
        <f t="shared" si="17"/>
        <v>8.934707903780069</v>
      </c>
      <c r="AV22" s="41">
        <f t="shared" si="18"/>
        <v>0.1718213058419244</v>
      </c>
      <c r="AW22" s="41">
        <f t="shared" si="19"/>
        <v>100</v>
      </c>
      <c r="AX22" s="41">
        <f t="shared" si="20"/>
        <v>0</v>
      </c>
      <c r="AY22" s="41">
        <f t="shared" si="21"/>
        <v>0.5154639175257731</v>
      </c>
      <c r="AZ22" s="41">
        <f t="shared" si="22"/>
        <v>75.94501718213058</v>
      </c>
      <c r="BA22" s="41">
        <f t="shared" si="23"/>
        <v>0</v>
      </c>
      <c r="BB22" s="41">
        <f t="shared" si="24"/>
        <v>0</v>
      </c>
      <c r="BC22" s="41">
        <f t="shared" si="25"/>
        <v>2.405498281786942</v>
      </c>
      <c r="BD22" s="41">
        <f t="shared" si="26"/>
        <v>21.1340206185567</v>
      </c>
      <c r="BE22" s="24">
        <f t="shared" si="27"/>
        <v>100.00000000000001</v>
      </c>
      <c r="BF22" s="43"/>
      <c r="BG22" t="s">
        <v>93</v>
      </c>
      <c r="BH22" t="s">
        <v>108</v>
      </c>
      <c r="BI22" t="s">
        <v>109</v>
      </c>
      <c r="BJ22" s="25">
        <f t="shared" si="28"/>
        <v>3296</v>
      </c>
      <c r="BK22" s="25">
        <f t="shared" si="29"/>
        <v>580</v>
      </c>
      <c r="BL22" s="24">
        <f t="shared" si="30"/>
        <v>74.22680412371135</v>
      </c>
      <c r="BM22" s="24">
        <f t="shared" si="31"/>
        <v>20.790378006872853</v>
      </c>
      <c r="BN22" s="24">
        <f t="shared" si="32"/>
        <v>21.1340206185567</v>
      </c>
    </row>
    <row r="23" spans="2:66" ht="15">
      <c r="B23" s="32" t="s">
        <v>92</v>
      </c>
      <c r="C23" s="32" t="s">
        <v>93</v>
      </c>
      <c r="D23" s="33" t="s">
        <v>108</v>
      </c>
      <c r="E23" s="33" t="s">
        <v>110</v>
      </c>
      <c r="F23" s="34">
        <v>10842</v>
      </c>
      <c r="G23" s="34">
        <v>2343</v>
      </c>
      <c r="H23" s="34">
        <v>924</v>
      </c>
      <c r="I23" s="34">
        <v>71</v>
      </c>
      <c r="J23" s="34">
        <v>1300</v>
      </c>
      <c r="K23" s="34">
        <v>25</v>
      </c>
      <c r="L23" s="34">
        <v>25</v>
      </c>
      <c r="M23" s="35">
        <f t="shared" si="2"/>
        <v>2345</v>
      </c>
      <c r="N23" s="34">
        <v>619</v>
      </c>
      <c r="O23" s="34">
        <v>283</v>
      </c>
      <c r="P23" s="34">
        <v>120</v>
      </c>
      <c r="Q23" s="34">
        <v>0</v>
      </c>
      <c r="R23" s="34">
        <v>423</v>
      </c>
      <c r="S23" s="34">
        <v>899</v>
      </c>
      <c r="T23" s="36">
        <v>1</v>
      </c>
      <c r="U23" s="35">
        <f t="shared" si="3"/>
        <v>2345</v>
      </c>
      <c r="V23" s="35">
        <v>24</v>
      </c>
      <c r="W23" s="35">
        <v>210</v>
      </c>
      <c r="X23" s="35">
        <v>919</v>
      </c>
      <c r="Y23" s="35">
        <v>12</v>
      </c>
      <c r="Z23" s="35">
        <v>0</v>
      </c>
      <c r="AA23" s="35">
        <v>36</v>
      </c>
      <c r="AB23" s="35">
        <v>1144</v>
      </c>
      <c r="AC23" s="35">
        <f t="shared" si="4"/>
        <v>2345</v>
      </c>
      <c r="AD23" s="42"/>
      <c r="AE23" s="43"/>
      <c r="AF23" t="s">
        <v>93</v>
      </c>
      <c r="AG23" s="37" t="s">
        <v>108</v>
      </c>
      <c r="AH23" s="38" t="s">
        <v>110</v>
      </c>
      <c r="AI23" s="40">
        <f t="shared" si="5"/>
        <v>2343</v>
      </c>
      <c r="AJ23" s="41">
        <f t="shared" si="6"/>
        <v>39.40298507462687</v>
      </c>
      <c r="AK23" s="41">
        <f t="shared" si="7"/>
        <v>3.0277185501066097</v>
      </c>
      <c r="AL23" s="41">
        <f t="shared" si="8"/>
        <v>55.437100213219615</v>
      </c>
      <c r="AM23" s="41">
        <f t="shared" si="9"/>
        <v>1.0660980810234542</v>
      </c>
      <c r="AN23" s="41">
        <f t="shared" si="10"/>
        <v>1.0660980810234542</v>
      </c>
      <c r="AO23" s="41">
        <f t="shared" si="11"/>
        <v>100</v>
      </c>
      <c r="AP23" s="41">
        <f t="shared" si="12"/>
        <v>26.396588486140725</v>
      </c>
      <c r="AQ23" s="41">
        <f t="shared" si="13"/>
        <v>12.068230277185501</v>
      </c>
      <c r="AR23" s="41">
        <f t="shared" si="14"/>
        <v>5.11727078891258</v>
      </c>
      <c r="AS23" s="41">
        <f t="shared" si="15"/>
        <v>0</v>
      </c>
      <c r="AT23" s="41">
        <f t="shared" si="16"/>
        <v>18.038379530916846</v>
      </c>
      <c r="AU23" s="41">
        <f t="shared" si="17"/>
        <v>38.336886993603414</v>
      </c>
      <c r="AV23" s="41">
        <f t="shared" si="18"/>
        <v>0.042643923240938165</v>
      </c>
      <c r="AW23" s="41">
        <f t="shared" si="19"/>
        <v>100.00000000000001</v>
      </c>
      <c r="AX23" s="41">
        <f t="shared" si="20"/>
        <v>1.023454157782516</v>
      </c>
      <c r="AY23" s="41">
        <f t="shared" si="21"/>
        <v>8.955223880597014</v>
      </c>
      <c r="AZ23" s="41">
        <f t="shared" si="22"/>
        <v>39.18976545842218</v>
      </c>
      <c r="BA23" s="41">
        <f t="shared" si="23"/>
        <v>0.511727078891258</v>
      </c>
      <c r="BB23" s="41">
        <f t="shared" si="24"/>
        <v>0</v>
      </c>
      <c r="BC23" s="41">
        <f t="shared" si="25"/>
        <v>1.535181236673774</v>
      </c>
      <c r="BD23" s="41">
        <f t="shared" si="26"/>
        <v>48.78464818763326</v>
      </c>
      <c r="BE23" s="24">
        <f t="shared" si="27"/>
        <v>100</v>
      </c>
      <c r="BF23" s="43"/>
      <c r="BG23" t="s">
        <v>93</v>
      </c>
      <c r="BH23" t="s">
        <v>108</v>
      </c>
      <c r="BI23" t="s">
        <v>110</v>
      </c>
      <c r="BJ23" s="25">
        <f t="shared" si="28"/>
        <v>10842</v>
      </c>
      <c r="BK23" s="25">
        <f t="shared" si="29"/>
        <v>2343</v>
      </c>
      <c r="BL23" s="24">
        <f t="shared" si="30"/>
        <v>60.59701492537314</v>
      </c>
      <c r="BM23" s="24">
        <f t="shared" si="31"/>
        <v>73.60341151385929</v>
      </c>
      <c r="BN23" s="24">
        <f t="shared" si="32"/>
        <v>48.78464818763326</v>
      </c>
    </row>
    <row r="24" spans="2:66" ht="15">
      <c r="B24" s="32" t="s">
        <v>92</v>
      </c>
      <c r="C24" s="32" t="s">
        <v>93</v>
      </c>
      <c r="D24" s="33" t="s">
        <v>108</v>
      </c>
      <c r="E24" s="33" t="s">
        <v>111</v>
      </c>
      <c r="F24" s="34">
        <v>3844</v>
      </c>
      <c r="G24" s="34">
        <v>838</v>
      </c>
      <c r="H24" s="34">
        <v>219</v>
      </c>
      <c r="I24" s="34">
        <v>3</v>
      </c>
      <c r="J24" s="34">
        <v>423</v>
      </c>
      <c r="K24" s="34">
        <v>77</v>
      </c>
      <c r="L24" s="34">
        <v>115</v>
      </c>
      <c r="M24" s="35">
        <f t="shared" si="2"/>
        <v>837</v>
      </c>
      <c r="N24" s="34">
        <v>323</v>
      </c>
      <c r="O24" s="34">
        <v>56</v>
      </c>
      <c r="P24" s="34">
        <v>5</v>
      </c>
      <c r="Q24" s="34">
        <v>10</v>
      </c>
      <c r="R24" s="34">
        <v>134</v>
      </c>
      <c r="S24" s="34">
        <v>308</v>
      </c>
      <c r="T24" s="36">
        <v>1</v>
      </c>
      <c r="U24" s="35">
        <f t="shared" si="3"/>
        <v>837</v>
      </c>
      <c r="V24" s="35">
        <v>3</v>
      </c>
      <c r="W24" s="35">
        <v>82</v>
      </c>
      <c r="X24" s="35">
        <v>595</v>
      </c>
      <c r="Y24" s="35">
        <v>0</v>
      </c>
      <c r="Z24" s="35">
        <v>0</v>
      </c>
      <c r="AA24" s="35">
        <v>0</v>
      </c>
      <c r="AB24" s="35">
        <v>157</v>
      </c>
      <c r="AC24" s="35">
        <f t="shared" si="4"/>
        <v>837</v>
      </c>
      <c r="AD24" s="42"/>
      <c r="AE24" s="43"/>
      <c r="AF24" t="s">
        <v>93</v>
      </c>
      <c r="AG24" s="37" t="s">
        <v>108</v>
      </c>
      <c r="AH24" s="38" t="s">
        <v>111</v>
      </c>
      <c r="AI24" s="40">
        <f t="shared" si="5"/>
        <v>838</v>
      </c>
      <c r="AJ24" s="41">
        <f t="shared" si="6"/>
        <v>26.16487455197133</v>
      </c>
      <c r="AK24" s="41">
        <f t="shared" si="7"/>
        <v>0.35842293906810035</v>
      </c>
      <c r="AL24" s="41">
        <f t="shared" si="8"/>
        <v>50.53763440860215</v>
      </c>
      <c r="AM24" s="41">
        <f t="shared" si="9"/>
        <v>9.19952210274791</v>
      </c>
      <c r="AN24" s="41">
        <f t="shared" si="10"/>
        <v>13.739545997610513</v>
      </c>
      <c r="AO24" s="41">
        <f t="shared" si="11"/>
        <v>100</v>
      </c>
      <c r="AP24" s="41">
        <f t="shared" si="12"/>
        <v>38.59020310633214</v>
      </c>
      <c r="AQ24" s="41">
        <f t="shared" si="13"/>
        <v>6.690561529271206</v>
      </c>
      <c r="AR24" s="41">
        <f t="shared" si="14"/>
        <v>0.5973715651135006</v>
      </c>
      <c r="AS24" s="41">
        <f t="shared" si="15"/>
        <v>1.1947431302270013</v>
      </c>
      <c r="AT24" s="41">
        <f t="shared" si="16"/>
        <v>16.009557945041816</v>
      </c>
      <c r="AU24" s="41">
        <f t="shared" si="17"/>
        <v>36.79808841099164</v>
      </c>
      <c r="AV24" s="41">
        <f t="shared" si="18"/>
        <v>0.11947431302270012</v>
      </c>
      <c r="AW24" s="41">
        <f t="shared" si="19"/>
        <v>100.00000000000001</v>
      </c>
      <c r="AX24" s="41">
        <f t="shared" si="20"/>
        <v>0.35842293906810035</v>
      </c>
      <c r="AY24" s="41">
        <f t="shared" si="21"/>
        <v>9.79689366786141</v>
      </c>
      <c r="AZ24" s="41">
        <f t="shared" si="22"/>
        <v>71.08721624850656</v>
      </c>
      <c r="BA24" s="41">
        <f t="shared" si="23"/>
        <v>0</v>
      </c>
      <c r="BB24" s="41">
        <f t="shared" si="24"/>
        <v>0</v>
      </c>
      <c r="BC24" s="41">
        <f t="shared" si="25"/>
        <v>0</v>
      </c>
      <c r="BD24" s="41">
        <f t="shared" si="26"/>
        <v>18.75746714456392</v>
      </c>
      <c r="BE24" s="24">
        <f t="shared" si="27"/>
        <v>100</v>
      </c>
      <c r="BF24" s="43"/>
      <c r="BG24" t="s">
        <v>93</v>
      </c>
      <c r="BH24" t="s">
        <v>108</v>
      </c>
      <c r="BI24" t="s">
        <v>111</v>
      </c>
      <c r="BJ24" s="25">
        <f t="shared" si="28"/>
        <v>3844</v>
      </c>
      <c r="BK24" s="25">
        <f t="shared" si="29"/>
        <v>838</v>
      </c>
      <c r="BL24" s="24">
        <f t="shared" si="30"/>
        <v>73.83512544802866</v>
      </c>
      <c r="BM24" s="24">
        <f t="shared" si="31"/>
        <v>61.40979689366787</v>
      </c>
      <c r="BN24" s="24">
        <f t="shared" si="32"/>
        <v>18.75746714456392</v>
      </c>
    </row>
    <row r="25" spans="2:66" ht="15">
      <c r="B25" s="32" t="s">
        <v>92</v>
      </c>
      <c r="C25" s="32" t="s">
        <v>93</v>
      </c>
      <c r="D25" s="33" t="s">
        <v>108</v>
      </c>
      <c r="E25" s="33" t="s">
        <v>112</v>
      </c>
      <c r="F25" s="34">
        <v>3320</v>
      </c>
      <c r="G25" s="34">
        <v>649</v>
      </c>
      <c r="H25" s="34">
        <v>269</v>
      </c>
      <c r="I25" s="34">
        <v>39</v>
      </c>
      <c r="J25" s="34">
        <v>337</v>
      </c>
      <c r="K25" s="34">
        <v>4</v>
      </c>
      <c r="L25" s="34">
        <v>0</v>
      </c>
      <c r="M25" s="35">
        <f t="shared" si="2"/>
        <v>649</v>
      </c>
      <c r="N25" s="34">
        <v>461</v>
      </c>
      <c r="O25" s="34">
        <v>73</v>
      </c>
      <c r="P25" s="34">
        <v>81</v>
      </c>
      <c r="Q25" s="34">
        <v>11</v>
      </c>
      <c r="R25" s="34">
        <v>4</v>
      </c>
      <c r="S25" s="34">
        <v>17</v>
      </c>
      <c r="T25" s="36">
        <v>2</v>
      </c>
      <c r="U25" s="35">
        <f t="shared" si="3"/>
        <v>649</v>
      </c>
      <c r="V25" s="35">
        <v>0</v>
      </c>
      <c r="W25" s="35">
        <v>22</v>
      </c>
      <c r="X25" s="35">
        <v>366</v>
      </c>
      <c r="Y25" s="35">
        <v>0</v>
      </c>
      <c r="Z25" s="35">
        <v>0</v>
      </c>
      <c r="AA25" s="35">
        <v>17</v>
      </c>
      <c r="AB25" s="35">
        <v>244</v>
      </c>
      <c r="AC25" s="35">
        <f t="shared" si="4"/>
        <v>649</v>
      </c>
      <c r="AD25" s="42"/>
      <c r="AE25" s="42"/>
      <c r="AF25" t="s">
        <v>93</v>
      </c>
      <c r="AG25" s="37" t="s">
        <v>108</v>
      </c>
      <c r="AH25" s="38" t="s">
        <v>112</v>
      </c>
      <c r="AI25" s="40">
        <f t="shared" si="5"/>
        <v>649</v>
      </c>
      <c r="AJ25" s="41">
        <f t="shared" si="6"/>
        <v>41.44838212634823</v>
      </c>
      <c r="AK25" s="41">
        <f t="shared" si="7"/>
        <v>6.00924499229584</v>
      </c>
      <c r="AL25" s="41">
        <f t="shared" si="8"/>
        <v>51.92604006163328</v>
      </c>
      <c r="AM25" s="41">
        <f t="shared" si="9"/>
        <v>0.6163328197226503</v>
      </c>
      <c r="AN25" s="41">
        <f t="shared" si="10"/>
        <v>0</v>
      </c>
      <c r="AO25" s="41">
        <f t="shared" si="11"/>
        <v>99.99999999999999</v>
      </c>
      <c r="AP25" s="41">
        <f t="shared" si="12"/>
        <v>71.03235747303543</v>
      </c>
      <c r="AQ25" s="41">
        <f t="shared" si="13"/>
        <v>11.248073959938367</v>
      </c>
      <c r="AR25" s="41">
        <f t="shared" si="14"/>
        <v>12.480739599383666</v>
      </c>
      <c r="AS25" s="41">
        <f t="shared" si="15"/>
        <v>1.694915254237288</v>
      </c>
      <c r="AT25" s="41">
        <f t="shared" si="16"/>
        <v>0.6163328197226503</v>
      </c>
      <c r="AU25" s="41">
        <f t="shared" si="17"/>
        <v>2.6194144838212634</v>
      </c>
      <c r="AV25" s="41">
        <f t="shared" si="18"/>
        <v>0.30816640986132515</v>
      </c>
      <c r="AW25" s="41">
        <f t="shared" si="19"/>
        <v>99.99999999999999</v>
      </c>
      <c r="AX25" s="41">
        <f t="shared" si="20"/>
        <v>0</v>
      </c>
      <c r="AY25" s="41">
        <f t="shared" si="21"/>
        <v>3.389830508474576</v>
      </c>
      <c r="AZ25" s="41">
        <f t="shared" si="22"/>
        <v>56.39445300462249</v>
      </c>
      <c r="BA25" s="41">
        <f t="shared" si="23"/>
        <v>0</v>
      </c>
      <c r="BB25" s="41">
        <f t="shared" si="24"/>
        <v>0</v>
      </c>
      <c r="BC25" s="41">
        <f t="shared" si="25"/>
        <v>2.6194144838212634</v>
      </c>
      <c r="BD25" s="41">
        <f t="shared" si="26"/>
        <v>37.59630200308167</v>
      </c>
      <c r="BE25" s="24">
        <f t="shared" si="27"/>
        <v>100</v>
      </c>
      <c r="BF25" s="42"/>
      <c r="BG25" t="s">
        <v>93</v>
      </c>
      <c r="BH25" t="s">
        <v>108</v>
      </c>
      <c r="BI25" t="s">
        <v>112</v>
      </c>
      <c r="BJ25" s="25">
        <f t="shared" si="28"/>
        <v>3320</v>
      </c>
      <c r="BK25" s="25">
        <f t="shared" si="29"/>
        <v>649</v>
      </c>
      <c r="BL25" s="24">
        <f t="shared" si="30"/>
        <v>58.55161787365177</v>
      </c>
      <c r="BM25" s="24">
        <f t="shared" si="31"/>
        <v>28.96764252696456</v>
      </c>
      <c r="BN25" s="24">
        <f t="shared" si="32"/>
        <v>37.59630200308167</v>
      </c>
    </row>
    <row r="26" spans="2:66" ht="15">
      <c r="B26" s="32" t="s">
        <v>92</v>
      </c>
      <c r="C26" s="32" t="s">
        <v>93</v>
      </c>
      <c r="D26" s="33" t="s">
        <v>108</v>
      </c>
      <c r="E26" s="33" t="s">
        <v>113</v>
      </c>
      <c r="F26" s="34">
        <v>9317</v>
      </c>
      <c r="G26" s="34">
        <v>1567</v>
      </c>
      <c r="H26" s="34">
        <v>560</v>
      </c>
      <c r="I26" s="34">
        <v>54</v>
      </c>
      <c r="J26" s="34">
        <v>945</v>
      </c>
      <c r="K26" s="34">
        <v>9</v>
      </c>
      <c r="L26" s="34">
        <v>0</v>
      </c>
      <c r="M26" s="35">
        <f t="shared" si="2"/>
        <v>1568</v>
      </c>
      <c r="N26" s="34">
        <v>1244</v>
      </c>
      <c r="O26" s="34">
        <v>117</v>
      </c>
      <c r="P26" s="34">
        <v>18</v>
      </c>
      <c r="Q26" s="34">
        <v>0</v>
      </c>
      <c r="R26" s="34">
        <v>0</v>
      </c>
      <c r="S26" s="34">
        <v>189</v>
      </c>
      <c r="T26" s="34">
        <v>0</v>
      </c>
      <c r="U26" s="35">
        <f t="shared" si="3"/>
        <v>1568</v>
      </c>
      <c r="V26" s="35">
        <v>36</v>
      </c>
      <c r="W26" s="35">
        <v>91</v>
      </c>
      <c r="X26" s="35">
        <v>1026</v>
      </c>
      <c r="Y26" s="35">
        <v>9</v>
      </c>
      <c r="Z26" s="35">
        <v>0</v>
      </c>
      <c r="AA26" s="35">
        <v>36</v>
      </c>
      <c r="AB26" s="44">
        <f>369+1</f>
        <v>370</v>
      </c>
      <c r="AC26" s="35">
        <f t="shared" si="4"/>
        <v>1568</v>
      </c>
      <c r="AD26" s="42"/>
      <c r="AF26" t="s">
        <v>93</v>
      </c>
      <c r="AG26" s="37" t="s">
        <v>108</v>
      </c>
      <c r="AH26" s="38" t="s">
        <v>113</v>
      </c>
      <c r="AI26" s="40">
        <f t="shared" si="5"/>
        <v>1567</v>
      </c>
      <c r="AJ26" s="41">
        <f t="shared" si="6"/>
        <v>35.714285714285715</v>
      </c>
      <c r="AK26" s="41">
        <f t="shared" si="7"/>
        <v>3.4438775510204076</v>
      </c>
      <c r="AL26" s="41">
        <f t="shared" si="8"/>
        <v>60.26785714285714</v>
      </c>
      <c r="AM26" s="41">
        <f t="shared" si="9"/>
        <v>0.5739795918367347</v>
      </c>
      <c r="AN26" s="41">
        <f t="shared" si="10"/>
        <v>0</v>
      </c>
      <c r="AO26" s="41">
        <f t="shared" si="11"/>
        <v>99.99999999999999</v>
      </c>
      <c r="AP26" s="41">
        <f t="shared" si="12"/>
        <v>79.33673469387756</v>
      </c>
      <c r="AQ26" s="41">
        <f t="shared" si="13"/>
        <v>7.461734693877552</v>
      </c>
      <c r="AR26" s="41">
        <f t="shared" si="14"/>
        <v>1.1479591836734695</v>
      </c>
      <c r="AS26" s="41">
        <f t="shared" si="15"/>
        <v>0</v>
      </c>
      <c r="AT26" s="41">
        <f t="shared" si="16"/>
        <v>0</v>
      </c>
      <c r="AU26" s="41">
        <f t="shared" si="17"/>
        <v>12.053571428571429</v>
      </c>
      <c r="AV26" s="41">
        <f t="shared" si="18"/>
        <v>0</v>
      </c>
      <c r="AW26" s="41">
        <f t="shared" si="19"/>
        <v>100</v>
      </c>
      <c r="AX26" s="41">
        <f t="shared" si="20"/>
        <v>2.295918367346939</v>
      </c>
      <c r="AY26" s="41">
        <f t="shared" si="21"/>
        <v>5.803571428571429</v>
      </c>
      <c r="AZ26" s="41">
        <f t="shared" si="22"/>
        <v>65.43367346938776</v>
      </c>
      <c r="BA26" s="41">
        <f t="shared" si="23"/>
        <v>0.5739795918367347</v>
      </c>
      <c r="BB26" s="41">
        <f t="shared" si="24"/>
        <v>0</v>
      </c>
      <c r="BC26" s="41">
        <f t="shared" si="25"/>
        <v>2.295918367346939</v>
      </c>
      <c r="BD26" s="41">
        <f t="shared" si="26"/>
        <v>23.596938775510203</v>
      </c>
      <c r="BE26" s="24">
        <f t="shared" si="27"/>
        <v>100</v>
      </c>
      <c r="BG26" t="s">
        <v>93</v>
      </c>
      <c r="BH26" t="s">
        <v>108</v>
      </c>
      <c r="BI26" t="s">
        <v>113</v>
      </c>
      <c r="BJ26" s="25">
        <f t="shared" si="28"/>
        <v>9317</v>
      </c>
      <c r="BK26" s="25">
        <f t="shared" si="29"/>
        <v>1567</v>
      </c>
      <c r="BL26" s="24">
        <f t="shared" si="30"/>
        <v>64.28571428571428</v>
      </c>
      <c r="BM26" s="24">
        <f t="shared" si="31"/>
        <v>20.663265306122447</v>
      </c>
      <c r="BN26" s="24">
        <f t="shared" si="32"/>
        <v>23.596938775510203</v>
      </c>
    </row>
    <row r="27" spans="2:66" ht="15">
      <c r="B27" s="32" t="s">
        <v>92</v>
      </c>
      <c r="C27" s="32" t="s">
        <v>93</v>
      </c>
      <c r="D27" s="33" t="s">
        <v>108</v>
      </c>
      <c r="E27" s="33" t="s">
        <v>114</v>
      </c>
      <c r="F27" s="34">
        <v>1521</v>
      </c>
      <c r="G27" s="34">
        <v>342</v>
      </c>
      <c r="H27" s="34">
        <v>45</v>
      </c>
      <c r="I27" s="34">
        <v>0</v>
      </c>
      <c r="J27" s="34">
        <v>256</v>
      </c>
      <c r="K27" s="34">
        <v>18</v>
      </c>
      <c r="L27" s="34">
        <v>23</v>
      </c>
      <c r="M27" s="35">
        <f t="shared" si="2"/>
        <v>342</v>
      </c>
      <c r="N27" s="34">
        <v>116</v>
      </c>
      <c r="O27" s="34">
        <v>9</v>
      </c>
      <c r="P27" s="34">
        <v>26</v>
      </c>
      <c r="Q27" s="34">
        <v>0</v>
      </c>
      <c r="R27" s="34">
        <v>35</v>
      </c>
      <c r="S27" s="36">
        <f>157-1</f>
        <v>156</v>
      </c>
      <c r="T27" s="34">
        <v>0</v>
      </c>
      <c r="U27" s="35">
        <f t="shared" si="3"/>
        <v>342</v>
      </c>
      <c r="V27" s="35">
        <v>10</v>
      </c>
      <c r="W27" s="35">
        <v>6</v>
      </c>
      <c r="X27" s="35">
        <v>213</v>
      </c>
      <c r="Y27" s="35">
        <v>0</v>
      </c>
      <c r="Z27" s="35">
        <v>0</v>
      </c>
      <c r="AA27" s="35">
        <v>6</v>
      </c>
      <c r="AB27" s="35">
        <v>107</v>
      </c>
      <c r="AC27" s="35">
        <f t="shared" si="4"/>
        <v>342</v>
      </c>
      <c r="AD27" s="42"/>
      <c r="AF27" t="s">
        <v>93</v>
      </c>
      <c r="AG27" s="37" t="s">
        <v>108</v>
      </c>
      <c r="AH27" s="38" t="s">
        <v>114</v>
      </c>
      <c r="AI27" s="40">
        <f t="shared" si="5"/>
        <v>342</v>
      </c>
      <c r="AJ27" s="41">
        <f t="shared" si="6"/>
        <v>13.157894736842104</v>
      </c>
      <c r="AK27" s="41">
        <f t="shared" si="7"/>
        <v>0</v>
      </c>
      <c r="AL27" s="41">
        <f t="shared" si="8"/>
        <v>74.85380116959064</v>
      </c>
      <c r="AM27" s="41">
        <f t="shared" si="9"/>
        <v>5.263157894736842</v>
      </c>
      <c r="AN27" s="41">
        <f t="shared" si="10"/>
        <v>6.725146198830409</v>
      </c>
      <c r="AO27" s="41">
        <f t="shared" si="11"/>
        <v>100</v>
      </c>
      <c r="AP27" s="41">
        <f t="shared" si="12"/>
        <v>33.91812865497076</v>
      </c>
      <c r="AQ27" s="41">
        <f t="shared" si="13"/>
        <v>2.631578947368421</v>
      </c>
      <c r="AR27" s="41">
        <f t="shared" si="14"/>
        <v>7.602339181286549</v>
      </c>
      <c r="AS27" s="41">
        <f t="shared" si="15"/>
        <v>0</v>
      </c>
      <c r="AT27" s="41">
        <f t="shared" si="16"/>
        <v>10.23391812865497</v>
      </c>
      <c r="AU27" s="41">
        <f t="shared" si="17"/>
        <v>45.614035087719294</v>
      </c>
      <c r="AV27" s="41">
        <f t="shared" si="18"/>
        <v>0</v>
      </c>
      <c r="AW27" s="41">
        <f t="shared" si="19"/>
        <v>99.99999999999999</v>
      </c>
      <c r="AX27" s="41">
        <f t="shared" si="20"/>
        <v>2.923976608187134</v>
      </c>
      <c r="AY27" s="41">
        <f t="shared" si="21"/>
        <v>1.7543859649122806</v>
      </c>
      <c r="AZ27" s="41">
        <f t="shared" si="22"/>
        <v>62.28070175438597</v>
      </c>
      <c r="BA27" s="41">
        <f t="shared" si="23"/>
        <v>0</v>
      </c>
      <c r="BB27" s="41">
        <f t="shared" si="24"/>
        <v>0</v>
      </c>
      <c r="BC27" s="41">
        <f t="shared" si="25"/>
        <v>1.7543859649122806</v>
      </c>
      <c r="BD27" s="41">
        <f t="shared" si="26"/>
        <v>31.28654970760234</v>
      </c>
      <c r="BE27" s="24">
        <f t="shared" si="27"/>
        <v>100</v>
      </c>
      <c r="BG27" t="s">
        <v>93</v>
      </c>
      <c r="BH27" t="s">
        <v>108</v>
      </c>
      <c r="BI27" t="s">
        <v>114</v>
      </c>
      <c r="BJ27" s="25">
        <f t="shared" si="28"/>
        <v>1521</v>
      </c>
      <c r="BK27" s="25">
        <f t="shared" si="29"/>
        <v>342</v>
      </c>
      <c r="BL27" s="24">
        <f t="shared" si="30"/>
        <v>86.84210526315789</v>
      </c>
      <c r="BM27" s="24">
        <f t="shared" si="31"/>
        <v>66.08187134502924</v>
      </c>
      <c r="BN27" s="24">
        <f t="shared" si="32"/>
        <v>31.28654970760234</v>
      </c>
    </row>
    <row r="28" spans="2:66" ht="14.25">
      <c r="B28" s="32" t="s">
        <v>92</v>
      </c>
      <c r="C28" s="32" t="s">
        <v>93</v>
      </c>
      <c r="D28" s="33" t="s">
        <v>115</v>
      </c>
      <c r="E28" s="33" t="s">
        <v>116</v>
      </c>
      <c r="F28" s="34">
        <v>9210</v>
      </c>
      <c r="G28" s="34">
        <v>2011</v>
      </c>
      <c r="H28" s="34">
        <v>740</v>
      </c>
      <c r="I28" s="34">
        <v>67</v>
      </c>
      <c r="J28" s="34">
        <v>1151</v>
      </c>
      <c r="K28" s="34">
        <v>0</v>
      </c>
      <c r="L28" s="34">
        <v>52</v>
      </c>
      <c r="M28" s="35">
        <f t="shared" si="2"/>
        <v>2010</v>
      </c>
      <c r="N28" s="34">
        <v>728</v>
      </c>
      <c r="O28" s="34">
        <v>242</v>
      </c>
      <c r="P28" s="34">
        <v>65</v>
      </c>
      <c r="Q28" s="34">
        <v>39</v>
      </c>
      <c r="R28" s="34">
        <v>299</v>
      </c>
      <c r="S28" s="34">
        <v>624</v>
      </c>
      <c r="T28" s="34">
        <v>13</v>
      </c>
      <c r="U28" s="35">
        <f t="shared" si="3"/>
        <v>2010</v>
      </c>
      <c r="V28" s="35">
        <v>187</v>
      </c>
      <c r="W28" s="35">
        <v>146</v>
      </c>
      <c r="X28" s="35">
        <v>365</v>
      </c>
      <c r="Y28" s="35">
        <v>0</v>
      </c>
      <c r="Z28" s="35">
        <v>0</v>
      </c>
      <c r="AA28" s="35">
        <v>60</v>
      </c>
      <c r="AB28" s="35">
        <v>1252</v>
      </c>
      <c r="AC28" s="35">
        <f t="shared" si="4"/>
        <v>2010</v>
      </c>
      <c r="AD28" s="42"/>
      <c r="AF28" t="s">
        <v>93</v>
      </c>
      <c r="AG28" s="37" t="s">
        <v>115</v>
      </c>
      <c r="AH28" s="38" t="s">
        <v>116</v>
      </c>
      <c r="AI28" s="40">
        <f t="shared" si="5"/>
        <v>2011</v>
      </c>
      <c r="AJ28" s="41">
        <f t="shared" si="6"/>
        <v>36.81592039800995</v>
      </c>
      <c r="AK28" s="41">
        <f t="shared" si="7"/>
        <v>3.3333333333333335</v>
      </c>
      <c r="AL28" s="41">
        <f t="shared" si="8"/>
        <v>57.2636815920398</v>
      </c>
      <c r="AM28" s="41">
        <f t="shared" si="9"/>
        <v>0</v>
      </c>
      <c r="AN28" s="41">
        <f t="shared" si="10"/>
        <v>2.587064676616915</v>
      </c>
      <c r="AO28" s="41">
        <f t="shared" si="11"/>
        <v>100.00000000000001</v>
      </c>
      <c r="AP28" s="41">
        <f t="shared" si="12"/>
        <v>36.21890547263681</v>
      </c>
      <c r="AQ28" s="41">
        <f t="shared" si="13"/>
        <v>12.039800995024876</v>
      </c>
      <c r="AR28" s="41">
        <f t="shared" si="14"/>
        <v>3.233830845771144</v>
      </c>
      <c r="AS28" s="41">
        <f t="shared" si="15"/>
        <v>1.9402985074626864</v>
      </c>
      <c r="AT28" s="41">
        <f t="shared" si="16"/>
        <v>14.875621890547263</v>
      </c>
      <c r="AU28" s="41">
        <f t="shared" si="17"/>
        <v>31.044776119402982</v>
      </c>
      <c r="AV28" s="41">
        <f t="shared" si="18"/>
        <v>0.6467661691542288</v>
      </c>
      <c r="AW28" s="41">
        <f t="shared" si="19"/>
        <v>100</v>
      </c>
      <c r="AX28" s="41">
        <f t="shared" si="20"/>
        <v>9.303482587064677</v>
      </c>
      <c r="AY28" s="41">
        <f t="shared" si="21"/>
        <v>7.263681592039801</v>
      </c>
      <c r="AZ28" s="41">
        <f t="shared" si="22"/>
        <v>18.1592039800995</v>
      </c>
      <c r="BA28" s="41">
        <f t="shared" si="23"/>
        <v>0</v>
      </c>
      <c r="BB28" s="41">
        <f t="shared" si="24"/>
        <v>0</v>
      </c>
      <c r="BC28" s="41">
        <f t="shared" si="25"/>
        <v>2.9850746268656714</v>
      </c>
      <c r="BD28" s="41">
        <f t="shared" si="26"/>
        <v>62.28855721393035</v>
      </c>
      <c r="BE28" s="24">
        <f t="shared" si="27"/>
        <v>100</v>
      </c>
      <c r="BG28" t="s">
        <v>93</v>
      </c>
      <c r="BH28" t="s">
        <v>115</v>
      </c>
      <c r="BI28" t="s">
        <v>116</v>
      </c>
      <c r="BJ28" s="25">
        <f t="shared" si="28"/>
        <v>9210</v>
      </c>
      <c r="BK28" s="25">
        <f t="shared" si="29"/>
        <v>2011</v>
      </c>
      <c r="BL28" s="24">
        <f t="shared" si="30"/>
        <v>63.18407960199005</v>
      </c>
      <c r="BM28" s="24">
        <f t="shared" si="31"/>
        <v>63.78109452736318</v>
      </c>
      <c r="BN28" s="24">
        <f t="shared" si="32"/>
        <v>62.28855721393035</v>
      </c>
    </row>
    <row r="29" spans="2:66" ht="15">
      <c r="B29" s="32" t="s">
        <v>92</v>
      </c>
      <c r="C29" s="32" t="s">
        <v>93</v>
      </c>
      <c r="D29" s="33" t="s">
        <v>115</v>
      </c>
      <c r="E29" s="33" t="s">
        <v>117</v>
      </c>
      <c r="F29" s="34">
        <v>7820</v>
      </c>
      <c r="G29" s="34">
        <v>1126</v>
      </c>
      <c r="H29" s="34">
        <v>354</v>
      </c>
      <c r="I29" s="34">
        <v>35</v>
      </c>
      <c r="J29" s="34">
        <v>721</v>
      </c>
      <c r="K29" s="34">
        <v>0</v>
      </c>
      <c r="L29" s="34">
        <v>17</v>
      </c>
      <c r="M29" s="35">
        <f t="shared" si="2"/>
        <v>1127</v>
      </c>
      <c r="N29" s="34">
        <v>376</v>
      </c>
      <c r="O29" s="34">
        <v>113</v>
      </c>
      <c r="P29" s="34">
        <v>88</v>
      </c>
      <c r="Q29" s="34">
        <v>12</v>
      </c>
      <c r="R29" s="34">
        <v>89</v>
      </c>
      <c r="S29" s="34">
        <v>446</v>
      </c>
      <c r="T29" s="36">
        <f>6-3</f>
        <v>3</v>
      </c>
      <c r="U29" s="35">
        <f t="shared" si="3"/>
        <v>1127</v>
      </c>
      <c r="V29" s="35">
        <v>8</v>
      </c>
      <c r="W29" s="35">
        <v>31</v>
      </c>
      <c r="X29" s="35">
        <v>404</v>
      </c>
      <c r="Y29" s="35">
        <v>0</v>
      </c>
      <c r="Z29" s="35">
        <v>0</v>
      </c>
      <c r="AA29" s="35">
        <v>60</v>
      </c>
      <c r="AB29" s="44">
        <f>623+1</f>
        <v>624</v>
      </c>
      <c r="AC29" s="35">
        <f t="shared" si="4"/>
        <v>1127</v>
      </c>
      <c r="AD29" s="42"/>
      <c r="AF29" t="s">
        <v>93</v>
      </c>
      <c r="AG29" s="37" t="s">
        <v>115</v>
      </c>
      <c r="AH29" s="38" t="s">
        <v>117</v>
      </c>
      <c r="AI29" s="40">
        <f t="shared" si="5"/>
        <v>1126</v>
      </c>
      <c r="AJ29" s="41">
        <f t="shared" si="6"/>
        <v>31.410825199645075</v>
      </c>
      <c r="AK29" s="41">
        <f t="shared" si="7"/>
        <v>3.1055900621118013</v>
      </c>
      <c r="AL29" s="41">
        <f t="shared" si="8"/>
        <v>63.975155279503106</v>
      </c>
      <c r="AM29" s="41">
        <f t="shared" si="9"/>
        <v>0</v>
      </c>
      <c r="AN29" s="41">
        <f t="shared" si="10"/>
        <v>1.5084294587400178</v>
      </c>
      <c r="AO29" s="41">
        <f t="shared" si="11"/>
        <v>100</v>
      </c>
      <c r="AP29" s="41">
        <f t="shared" si="12"/>
        <v>33.36291038154392</v>
      </c>
      <c r="AQ29" s="41">
        <f t="shared" si="13"/>
        <v>10.02661934338953</v>
      </c>
      <c r="AR29" s="41">
        <f t="shared" si="14"/>
        <v>7.808340727595386</v>
      </c>
      <c r="AS29" s="41">
        <f t="shared" si="15"/>
        <v>1.064773735581189</v>
      </c>
      <c r="AT29" s="41">
        <f t="shared" si="16"/>
        <v>7.897071872227151</v>
      </c>
      <c r="AU29" s="41">
        <f t="shared" si="17"/>
        <v>39.57409050576752</v>
      </c>
      <c r="AV29" s="41">
        <f t="shared" si="18"/>
        <v>0.26619343389529726</v>
      </c>
      <c r="AW29" s="41">
        <f t="shared" si="19"/>
        <v>100</v>
      </c>
      <c r="AX29" s="41">
        <f t="shared" si="20"/>
        <v>0.709849157054126</v>
      </c>
      <c r="AY29" s="41">
        <f t="shared" si="21"/>
        <v>2.750665483584738</v>
      </c>
      <c r="AZ29" s="41">
        <f t="shared" si="22"/>
        <v>35.84738243123336</v>
      </c>
      <c r="BA29" s="41">
        <f t="shared" si="23"/>
        <v>0</v>
      </c>
      <c r="BB29" s="41">
        <f t="shared" si="24"/>
        <v>0</v>
      </c>
      <c r="BC29" s="41">
        <f t="shared" si="25"/>
        <v>5.323868677905945</v>
      </c>
      <c r="BD29" s="41">
        <f t="shared" si="26"/>
        <v>55.368234250221825</v>
      </c>
      <c r="BE29" s="24">
        <f t="shared" si="27"/>
        <v>100</v>
      </c>
      <c r="BG29" t="s">
        <v>93</v>
      </c>
      <c r="BH29" t="s">
        <v>115</v>
      </c>
      <c r="BI29" t="s">
        <v>117</v>
      </c>
      <c r="BJ29" s="25">
        <f t="shared" si="28"/>
        <v>7820</v>
      </c>
      <c r="BK29" s="25">
        <f t="shared" si="29"/>
        <v>1126</v>
      </c>
      <c r="BL29" s="24">
        <f t="shared" si="30"/>
        <v>68.58917480035493</v>
      </c>
      <c r="BM29" s="24">
        <f t="shared" si="31"/>
        <v>66.63708961845607</v>
      </c>
      <c r="BN29" s="24">
        <f t="shared" si="32"/>
        <v>55.368234250221825</v>
      </c>
    </row>
    <row r="30" spans="2:66" ht="14.25">
      <c r="B30" s="32" t="s">
        <v>92</v>
      </c>
      <c r="C30" s="32" t="s">
        <v>93</v>
      </c>
      <c r="D30" s="33" t="s">
        <v>118</v>
      </c>
      <c r="E30" s="33" t="s">
        <v>119</v>
      </c>
      <c r="F30" s="35">
        <v>4953</v>
      </c>
      <c r="G30" s="35">
        <v>801</v>
      </c>
      <c r="H30" s="35">
        <v>610</v>
      </c>
      <c r="I30" s="35">
        <v>40</v>
      </c>
      <c r="J30" s="35">
        <v>129</v>
      </c>
      <c r="K30" s="35">
        <v>16</v>
      </c>
      <c r="L30" s="35">
        <v>5</v>
      </c>
      <c r="M30" s="35">
        <f t="shared" si="2"/>
        <v>800</v>
      </c>
      <c r="N30" s="35">
        <v>581</v>
      </c>
      <c r="O30" s="35">
        <v>50</v>
      </c>
      <c r="P30" s="35">
        <v>55</v>
      </c>
      <c r="Q30" s="35">
        <v>0</v>
      </c>
      <c r="R30" s="35">
        <v>0</v>
      </c>
      <c r="S30" s="35">
        <v>114</v>
      </c>
      <c r="T30" s="35">
        <v>0</v>
      </c>
      <c r="U30" s="35">
        <f t="shared" si="3"/>
        <v>800</v>
      </c>
      <c r="V30" s="35">
        <v>121</v>
      </c>
      <c r="W30" s="35">
        <v>81</v>
      </c>
      <c r="X30" s="35">
        <v>230</v>
      </c>
      <c r="Y30" s="35">
        <v>0</v>
      </c>
      <c r="Z30" s="35">
        <v>5</v>
      </c>
      <c r="AA30" s="35">
        <v>5</v>
      </c>
      <c r="AB30" s="35">
        <f>359-1</f>
        <v>358</v>
      </c>
      <c r="AC30" s="35">
        <f t="shared" si="4"/>
        <v>800</v>
      </c>
      <c r="AD30" s="42"/>
      <c r="AF30" t="s">
        <v>93</v>
      </c>
      <c r="AG30" s="37" t="s">
        <v>118</v>
      </c>
      <c r="AH30" s="38" t="s">
        <v>119</v>
      </c>
      <c r="AI30" s="40">
        <f t="shared" si="5"/>
        <v>801</v>
      </c>
      <c r="AJ30" s="41">
        <f t="shared" si="6"/>
        <v>76.25</v>
      </c>
      <c r="AK30" s="41">
        <f t="shared" si="7"/>
        <v>5</v>
      </c>
      <c r="AL30" s="41">
        <f t="shared" si="8"/>
        <v>16.125</v>
      </c>
      <c r="AM30" s="41">
        <f t="shared" si="9"/>
        <v>2</v>
      </c>
      <c r="AN30" s="41">
        <f t="shared" si="10"/>
        <v>0.625</v>
      </c>
      <c r="AO30" s="41">
        <f t="shared" si="11"/>
        <v>100</v>
      </c>
      <c r="AP30" s="41">
        <f t="shared" si="12"/>
        <v>72.625</v>
      </c>
      <c r="AQ30" s="41">
        <f t="shared" si="13"/>
        <v>6.25</v>
      </c>
      <c r="AR30" s="41">
        <f t="shared" si="14"/>
        <v>6.875000000000001</v>
      </c>
      <c r="AS30" s="41">
        <f t="shared" si="15"/>
        <v>0</v>
      </c>
      <c r="AT30" s="41">
        <f t="shared" si="16"/>
        <v>0</v>
      </c>
      <c r="AU30" s="41">
        <f t="shared" si="17"/>
        <v>14.249999999999998</v>
      </c>
      <c r="AV30" s="41">
        <f t="shared" si="18"/>
        <v>0</v>
      </c>
      <c r="AW30" s="41">
        <f t="shared" si="19"/>
        <v>100</v>
      </c>
      <c r="AX30" s="41">
        <f t="shared" si="20"/>
        <v>15.125</v>
      </c>
      <c r="AY30" s="41">
        <f t="shared" si="21"/>
        <v>10.125</v>
      </c>
      <c r="AZ30" s="41">
        <f t="shared" si="22"/>
        <v>28.749999999999996</v>
      </c>
      <c r="BA30" s="41">
        <f t="shared" si="23"/>
        <v>0</v>
      </c>
      <c r="BB30" s="41">
        <f t="shared" si="24"/>
        <v>0.625</v>
      </c>
      <c r="BC30" s="41">
        <f t="shared" si="25"/>
        <v>0.625</v>
      </c>
      <c r="BD30" s="41">
        <f t="shared" si="26"/>
        <v>44.75</v>
      </c>
      <c r="BE30" s="24">
        <f t="shared" si="27"/>
        <v>100</v>
      </c>
      <c r="BG30" t="s">
        <v>93</v>
      </c>
      <c r="BH30" t="s">
        <v>118</v>
      </c>
      <c r="BI30" t="s">
        <v>119</v>
      </c>
      <c r="BJ30" s="25">
        <f t="shared" si="28"/>
        <v>4953</v>
      </c>
      <c r="BK30" s="25">
        <f t="shared" si="29"/>
        <v>801</v>
      </c>
      <c r="BL30" s="24">
        <f t="shared" si="30"/>
        <v>23.75</v>
      </c>
      <c r="BM30" s="24">
        <f t="shared" si="31"/>
        <v>27.375</v>
      </c>
      <c r="BN30" s="24">
        <f t="shared" si="32"/>
        <v>44.75</v>
      </c>
    </row>
    <row r="31" spans="2:66" ht="15">
      <c r="B31" s="32" t="s">
        <v>92</v>
      </c>
      <c r="C31" s="32" t="s">
        <v>120</v>
      </c>
      <c r="D31" s="33" t="s">
        <v>94</v>
      </c>
      <c r="E31" s="33" t="s">
        <v>121</v>
      </c>
      <c r="F31" s="34">
        <v>62970</v>
      </c>
      <c r="G31" s="34">
        <v>11938</v>
      </c>
      <c r="H31" s="34">
        <v>8295</v>
      </c>
      <c r="I31" s="34">
        <v>293</v>
      </c>
      <c r="J31" s="34">
        <v>2903</v>
      </c>
      <c r="K31" s="34">
        <v>361</v>
      </c>
      <c r="L31" s="34">
        <v>87</v>
      </c>
      <c r="M31" s="35">
        <f t="shared" si="2"/>
        <v>11939</v>
      </c>
      <c r="N31" s="34">
        <v>4973</v>
      </c>
      <c r="O31" s="34">
        <v>473</v>
      </c>
      <c r="P31" s="34">
        <v>802</v>
      </c>
      <c r="Q31" s="34">
        <v>756</v>
      </c>
      <c r="R31" s="34">
        <v>1333</v>
      </c>
      <c r="S31" s="34">
        <v>3552</v>
      </c>
      <c r="T31" s="36">
        <f>51-1</f>
        <v>50</v>
      </c>
      <c r="U31" s="35">
        <f t="shared" si="3"/>
        <v>11939</v>
      </c>
      <c r="V31" s="35">
        <v>2076</v>
      </c>
      <c r="W31" s="35">
        <v>687</v>
      </c>
      <c r="X31" s="35">
        <v>6595</v>
      </c>
      <c r="Y31" s="35">
        <v>191</v>
      </c>
      <c r="Z31" s="35">
        <v>42</v>
      </c>
      <c r="AA31" s="35">
        <v>433</v>
      </c>
      <c r="AB31" s="44">
        <f>1914+1</f>
        <v>1915</v>
      </c>
      <c r="AC31" s="35">
        <f t="shared" si="4"/>
        <v>11939</v>
      </c>
      <c r="AD31" s="42"/>
      <c r="AE31" s="42"/>
      <c r="AF31" t="s">
        <v>120</v>
      </c>
      <c r="AG31" s="37" t="s">
        <v>94</v>
      </c>
      <c r="AH31" s="38" t="s">
        <v>121</v>
      </c>
      <c r="AI31" s="40">
        <f t="shared" si="5"/>
        <v>11938</v>
      </c>
      <c r="AJ31" s="41">
        <f t="shared" si="6"/>
        <v>69.47818075215679</v>
      </c>
      <c r="AK31" s="41">
        <f t="shared" si="7"/>
        <v>2.4541418879303127</v>
      </c>
      <c r="AL31" s="41">
        <f t="shared" si="8"/>
        <v>24.315269285534804</v>
      </c>
      <c r="AM31" s="41">
        <f t="shared" si="9"/>
        <v>3.0237038277912722</v>
      </c>
      <c r="AN31" s="41">
        <f t="shared" si="10"/>
        <v>0.7287042465868163</v>
      </c>
      <c r="AO31" s="41">
        <f t="shared" si="11"/>
        <v>100</v>
      </c>
      <c r="AP31" s="41">
        <f t="shared" si="12"/>
        <v>41.65340480777285</v>
      </c>
      <c r="AQ31" s="41">
        <f t="shared" si="13"/>
        <v>3.9618058463857944</v>
      </c>
      <c r="AR31" s="41">
        <f t="shared" si="14"/>
        <v>6.717480526007204</v>
      </c>
      <c r="AS31" s="41">
        <f t="shared" si="15"/>
        <v>6.332188625513025</v>
      </c>
      <c r="AT31" s="41">
        <f t="shared" si="16"/>
        <v>11.165089203450876</v>
      </c>
      <c r="AU31" s="41">
        <f t="shared" si="17"/>
        <v>29.751235446854846</v>
      </c>
      <c r="AV31" s="41">
        <f t="shared" si="18"/>
        <v>0.41879554401541164</v>
      </c>
      <c r="AW31" s="41">
        <f t="shared" si="19"/>
        <v>100.00000000000001</v>
      </c>
      <c r="AX31" s="41">
        <f t="shared" si="20"/>
        <v>17.38839098751989</v>
      </c>
      <c r="AY31" s="41">
        <f t="shared" si="21"/>
        <v>5.754250774771756</v>
      </c>
      <c r="AZ31" s="41">
        <f t="shared" si="22"/>
        <v>55.239132255632796</v>
      </c>
      <c r="BA31" s="41">
        <f t="shared" si="23"/>
        <v>1.5997989781388726</v>
      </c>
      <c r="BB31" s="41">
        <f t="shared" si="24"/>
        <v>0.3517882569729458</v>
      </c>
      <c r="BC31" s="41">
        <f t="shared" si="25"/>
        <v>3.6267694111734654</v>
      </c>
      <c r="BD31" s="41">
        <f t="shared" si="26"/>
        <v>16.039869335790264</v>
      </c>
      <c r="BE31" s="24">
        <f t="shared" si="27"/>
        <v>100</v>
      </c>
      <c r="BF31" s="42"/>
      <c r="BG31" t="s">
        <v>120</v>
      </c>
      <c r="BH31" t="s">
        <v>94</v>
      </c>
      <c r="BI31" t="s">
        <v>121</v>
      </c>
      <c r="BJ31" s="25">
        <f t="shared" si="28"/>
        <v>62970</v>
      </c>
      <c r="BK31" s="25">
        <f t="shared" si="29"/>
        <v>11938</v>
      </c>
      <c r="BL31" s="24">
        <f t="shared" si="30"/>
        <v>30.521819247843204</v>
      </c>
      <c r="BM31" s="24">
        <f t="shared" si="31"/>
        <v>58.346595192227156</v>
      </c>
      <c r="BN31" s="24">
        <f t="shared" si="32"/>
        <v>16.039869335790264</v>
      </c>
    </row>
    <row r="32" spans="2:66" ht="15">
      <c r="B32" s="32" t="s">
        <v>92</v>
      </c>
      <c r="C32" s="32" t="s">
        <v>120</v>
      </c>
      <c r="D32" s="33" t="s">
        <v>94</v>
      </c>
      <c r="E32" s="33" t="s">
        <v>122</v>
      </c>
      <c r="F32" s="34">
        <v>5456</v>
      </c>
      <c r="G32" s="34">
        <v>1258</v>
      </c>
      <c r="H32" s="34">
        <v>1006</v>
      </c>
      <c r="I32" s="34">
        <v>43</v>
      </c>
      <c r="J32" s="34">
        <v>206</v>
      </c>
      <c r="K32" s="34">
        <v>0</v>
      </c>
      <c r="L32" s="34">
        <v>3</v>
      </c>
      <c r="M32" s="35">
        <f t="shared" si="2"/>
        <v>1258</v>
      </c>
      <c r="N32" s="34">
        <v>461</v>
      </c>
      <c r="O32" s="34">
        <v>145</v>
      </c>
      <c r="P32" s="34">
        <v>65</v>
      </c>
      <c r="Q32" s="34">
        <v>33</v>
      </c>
      <c r="R32" s="34">
        <v>127</v>
      </c>
      <c r="S32" s="36">
        <f>428-1</f>
        <v>427</v>
      </c>
      <c r="T32" s="34">
        <v>0</v>
      </c>
      <c r="U32" s="35">
        <f t="shared" si="3"/>
        <v>1258</v>
      </c>
      <c r="V32" s="35">
        <v>65</v>
      </c>
      <c r="W32" s="35">
        <v>163</v>
      </c>
      <c r="X32" s="35">
        <v>850</v>
      </c>
      <c r="Y32" s="35">
        <v>0</v>
      </c>
      <c r="Z32" s="35">
        <v>20</v>
      </c>
      <c r="AA32" s="35">
        <v>36</v>
      </c>
      <c r="AB32" s="35">
        <f>124</f>
        <v>124</v>
      </c>
      <c r="AC32" s="35">
        <f t="shared" si="4"/>
        <v>1258</v>
      </c>
      <c r="AD32" s="42"/>
      <c r="AF32" t="s">
        <v>120</v>
      </c>
      <c r="AG32" s="37" t="s">
        <v>94</v>
      </c>
      <c r="AH32" s="38" t="s">
        <v>122</v>
      </c>
      <c r="AI32" s="40">
        <f t="shared" si="5"/>
        <v>1258</v>
      </c>
      <c r="AJ32" s="41">
        <f t="shared" si="6"/>
        <v>79.96820349761526</v>
      </c>
      <c r="AK32" s="41">
        <f t="shared" si="7"/>
        <v>3.418124006359301</v>
      </c>
      <c r="AL32" s="41">
        <f t="shared" si="8"/>
        <v>16.375198728139907</v>
      </c>
      <c r="AM32" s="41">
        <f t="shared" si="9"/>
        <v>0</v>
      </c>
      <c r="AN32" s="41">
        <f t="shared" si="10"/>
        <v>0.23847376788553257</v>
      </c>
      <c r="AO32" s="41">
        <f t="shared" si="11"/>
        <v>100.00000000000001</v>
      </c>
      <c r="AP32" s="41">
        <f t="shared" si="12"/>
        <v>36.64546899841017</v>
      </c>
      <c r="AQ32" s="41">
        <f t="shared" si="13"/>
        <v>11.526232114467408</v>
      </c>
      <c r="AR32" s="41">
        <f t="shared" si="14"/>
        <v>5.166931637519872</v>
      </c>
      <c r="AS32" s="41">
        <f t="shared" si="15"/>
        <v>2.6232114467408585</v>
      </c>
      <c r="AT32" s="41">
        <f t="shared" si="16"/>
        <v>10.095389507154213</v>
      </c>
      <c r="AU32" s="41">
        <f t="shared" si="17"/>
        <v>33.94276629570747</v>
      </c>
      <c r="AV32" s="41">
        <f t="shared" si="18"/>
        <v>0</v>
      </c>
      <c r="AW32" s="41">
        <f t="shared" si="19"/>
        <v>100</v>
      </c>
      <c r="AX32" s="41">
        <f t="shared" si="20"/>
        <v>5.166931637519872</v>
      </c>
      <c r="AY32" s="41">
        <f t="shared" si="21"/>
        <v>12.957074721780604</v>
      </c>
      <c r="AZ32" s="41">
        <f t="shared" si="22"/>
        <v>67.56756756756756</v>
      </c>
      <c r="BA32" s="41">
        <f t="shared" si="23"/>
        <v>0</v>
      </c>
      <c r="BB32" s="41">
        <f t="shared" si="24"/>
        <v>1.5898251192368837</v>
      </c>
      <c r="BC32" s="41">
        <f t="shared" si="25"/>
        <v>2.8616852146263914</v>
      </c>
      <c r="BD32" s="41">
        <f t="shared" si="26"/>
        <v>9.85691573926868</v>
      </c>
      <c r="BE32" s="24">
        <f t="shared" si="27"/>
        <v>100</v>
      </c>
      <c r="BG32" t="s">
        <v>120</v>
      </c>
      <c r="BH32" t="s">
        <v>94</v>
      </c>
      <c r="BI32" t="s">
        <v>122</v>
      </c>
      <c r="BJ32" s="25">
        <f t="shared" si="28"/>
        <v>5456</v>
      </c>
      <c r="BK32" s="25">
        <f t="shared" si="29"/>
        <v>1258</v>
      </c>
      <c r="BL32" s="24">
        <f t="shared" si="30"/>
        <v>20.03179650238474</v>
      </c>
      <c r="BM32" s="24">
        <f t="shared" si="31"/>
        <v>63.35453100158982</v>
      </c>
      <c r="BN32" s="24">
        <f t="shared" si="32"/>
        <v>9.85691573926868</v>
      </c>
    </row>
    <row r="33" spans="2:66" ht="15">
      <c r="B33" s="32" t="s">
        <v>92</v>
      </c>
      <c r="C33" s="32" t="s">
        <v>120</v>
      </c>
      <c r="D33" s="33" t="s">
        <v>94</v>
      </c>
      <c r="E33" s="33" t="s">
        <v>123</v>
      </c>
      <c r="F33" s="34">
        <v>6110</v>
      </c>
      <c r="G33" s="34">
        <v>1182</v>
      </c>
      <c r="H33" s="34">
        <v>373</v>
      </c>
      <c r="I33" s="34">
        <v>19</v>
      </c>
      <c r="J33" s="34">
        <v>758</v>
      </c>
      <c r="K33" s="34">
        <v>3</v>
      </c>
      <c r="L33" s="34">
        <v>27</v>
      </c>
      <c r="M33" s="35">
        <f t="shared" si="2"/>
        <v>1180</v>
      </c>
      <c r="N33" s="34">
        <v>520</v>
      </c>
      <c r="O33" s="34">
        <v>60</v>
      </c>
      <c r="P33" s="34">
        <v>44</v>
      </c>
      <c r="Q33" s="34">
        <v>0</v>
      </c>
      <c r="R33" s="34">
        <v>171</v>
      </c>
      <c r="S33" s="34">
        <v>381</v>
      </c>
      <c r="T33" s="36">
        <f>5-1</f>
        <v>4</v>
      </c>
      <c r="U33" s="35">
        <f t="shared" si="3"/>
        <v>1180</v>
      </c>
      <c r="V33" s="35">
        <v>14</v>
      </c>
      <c r="W33" s="35">
        <v>28</v>
      </c>
      <c r="X33" s="35">
        <v>673</v>
      </c>
      <c r="Y33" s="35">
        <v>0</v>
      </c>
      <c r="Z33" s="35">
        <v>0</v>
      </c>
      <c r="AA33" s="35">
        <v>14</v>
      </c>
      <c r="AB33" s="35">
        <f>452-1</f>
        <v>451</v>
      </c>
      <c r="AC33" s="35">
        <f t="shared" si="4"/>
        <v>1180</v>
      </c>
      <c r="AD33" s="42"/>
      <c r="AE33" s="43"/>
      <c r="AF33" t="s">
        <v>120</v>
      </c>
      <c r="AG33" s="37" t="s">
        <v>94</v>
      </c>
      <c r="AH33" s="38" t="s">
        <v>123</v>
      </c>
      <c r="AI33" s="40">
        <f t="shared" si="5"/>
        <v>1182</v>
      </c>
      <c r="AJ33" s="41">
        <f t="shared" si="6"/>
        <v>31.610169491525426</v>
      </c>
      <c r="AK33" s="41">
        <f t="shared" si="7"/>
        <v>1.6101694915254237</v>
      </c>
      <c r="AL33" s="41">
        <f t="shared" si="8"/>
        <v>64.23728813559322</v>
      </c>
      <c r="AM33" s="41">
        <f t="shared" si="9"/>
        <v>0.2542372881355932</v>
      </c>
      <c r="AN33" s="41">
        <f t="shared" si="10"/>
        <v>2.288135593220339</v>
      </c>
      <c r="AO33" s="41">
        <f t="shared" si="11"/>
        <v>100</v>
      </c>
      <c r="AP33" s="41">
        <f t="shared" si="12"/>
        <v>44.06779661016949</v>
      </c>
      <c r="AQ33" s="41">
        <f t="shared" si="13"/>
        <v>5.084745762711865</v>
      </c>
      <c r="AR33" s="41">
        <f t="shared" si="14"/>
        <v>3.728813559322034</v>
      </c>
      <c r="AS33" s="41">
        <f t="shared" si="15"/>
        <v>0</v>
      </c>
      <c r="AT33" s="41">
        <f t="shared" si="16"/>
        <v>14.491525423728813</v>
      </c>
      <c r="AU33" s="41">
        <f t="shared" si="17"/>
        <v>32.28813559322034</v>
      </c>
      <c r="AV33" s="41">
        <f t="shared" si="18"/>
        <v>0.3389830508474576</v>
      </c>
      <c r="AW33" s="41">
        <f t="shared" si="19"/>
        <v>100.00000000000001</v>
      </c>
      <c r="AX33" s="41">
        <f t="shared" si="20"/>
        <v>1.1864406779661016</v>
      </c>
      <c r="AY33" s="41">
        <f t="shared" si="21"/>
        <v>2.3728813559322033</v>
      </c>
      <c r="AZ33" s="41">
        <f t="shared" si="22"/>
        <v>57.03389830508474</v>
      </c>
      <c r="BA33" s="41">
        <f t="shared" si="23"/>
        <v>0</v>
      </c>
      <c r="BB33" s="41">
        <f t="shared" si="24"/>
        <v>0</v>
      </c>
      <c r="BC33" s="41">
        <f t="shared" si="25"/>
        <v>1.1864406779661016</v>
      </c>
      <c r="BD33" s="41">
        <f t="shared" si="26"/>
        <v>38.22033898305085</v>
      </c>
      <c r="BE33" s="24">
        <f t="shared" si="27"/>
        <v>100</v>
      </c>
      <c r="BF33" s="43"/>
      <c r="BG33" t="s">
        <v>120</v>
      </c>
      <c r="BH33" t="s">
        <v>94</v>
      </c>
      <c r="BI33" t="s">
        <v>123</v>
      </c>
      <c r="BJ33" s="25">
        <f t="shared" si="28"/>
        <v>6110</v>
      </c>
      <c r="BK33" s="25">
        <f t="shared" si="29"/>
        <v>1182</v>
      </c>
      <c r="BL33" s="24">
        <f t="shared" si="30"/>
        <v>68.38983050847457</v>
      </c>
      <c r="BM33" s="24">
        <f t="shared" si="31"/>
        <v>55.93220338983051</v>
      </c>
      <c r="BN33" s="24">
        <f t="shared" si="32"/>
        <v>38.22033898305085</v>
      </c>
    </row>
    <row r="34" spans="2:66" ht="14.25">
      <c r="B34" s="32" t="s">
        <v>92</v>
      </c>
      <c r="C34" s="32" t="s">
        <v>120</v>
      </c>
      <c r="D34" s="33" t="s">
        <v>94</v>
      </c>
      <c r="E34" s="33" t="s">
        <v>124</v>
      </c>
      <c r="F34" s="34">
        <v>14753</v>
      </c>
      <c r="G34" s="34">
        <v>2790</v>
      </c>
      <c r="H34" s="34">
        <v>2056</v>
      </c>
      <c r="I34" s="34">
        <v>147</v>
      </c>
      <c r="J34" s="34">
        <v>493</v>
      </c>
      <c r="K34" s="34">
        <v>26</v>
      </c>
      <c r="L34" s="34">
        <v>68</v>
      </c>
      <c r="M34" s="35">
        <f t="shared" si="2"/>
        <v>2790</v>
      </c>
      <c r="N34" s="34">
        <v>1246</v>
      </c>
      <c r="O34" s="34">
        <v>154</v>
      </c>
      <c r="P34" s="34">
        <v>186</v>
      </c>
      <c r="Q34" s="34">
        <v>88</v>
      </c>
      <c r="R34" s="34">
        <v>70</v>
      </c>
      <c r="S34" s="34">
        <v>1036</v>
      </c>
      <c r="T34" s="34">
        <v>10</v>
      </c>
      <c r="U34" s="35">
        <f t="shared" si="3"/>
        <v>2790</v>
      </c>
      <c r="V34" s="35">
        <v>23</v>
      </c>
      <c r="W34" s="35">
        <v>136</v>
      </c>
      <c r="X34" s="35">
        <v>2263</v>
      </c>
      <c r="Y34" s="35">
        <v>0</v>
      </c>
      <c r="Z34" s="35">
        <v>0</v>
      </c>
      <c r="AA34" s="35">
        <v>43</v>
      </c>
      <c r="AB34" s="35">
        <f>324+1</f>
        <v>325</v>
      </c>
      <c r="AC34" s="35">
        <f t="shared" si="4"/>
        <v>2790</v>
      </c>
      <c r="AD34" s="42"/>
      <c r="AE34" s="45"/>
      <c r="AF34" t="s">
        <v>120</v>
      </c>
      <c r="AG34" s="37" t="s">
        <v>94</v>
      </c>
      <c r="AH34" s="38" t="s">
        <v>125</v>
      </c>
      <c r="AI34" s="40">
        <f t="shared" si="5"/>
        <v>2790</v>
      </c>
      <c r="AJ34" s="41">
        <f t="shared" si="6"/>
        <v>73.69175627240143</v>
      </c>
      <c r="AK34" s="41">
        <f t="shared" si="7"/>
        <v>5.268817204301075</v>
      </c>
      <c r="AL34" s="41">
        <f t="shared" si="8"/>
        <v>17.67025089605735</v>
      </c>
      <c r="AM34" s="41">
        <f t="shared" si="9"/>
        <v>0.9318996415770611</v>
      </c>
      <c r="AN34" s="41">
        <f t="shared" si="10"/>
        <v>2.437275985663083</v>
      </c>
      <c r="AO34" s="41">
        <f t="shared" si="11"/>
        <v>100</v>
      </c>
      <c r="AP34" s="41">
        <f t="shared" si="12"/>
        <v>44.659498207885306</v>
      </c>
      <c r="AQ34" s="41">
        <f t="shared" si="13"/>
        <v>5.519713261648746</v>
      </c>
      <c r="AR34" s="41">
        <f t="shared" si="14"/>
        <v>6.666666666666667</v>
      </c>
      <c r="AS34" s="41">
        <f t="shared" si="15"/>
        <v>3.1541218637992836</v>
      </c>
      <c r="AT34" s="41">
        <f t="shared" si="16"/>
        <v>2.5089605734767026</v>
      </c>
      <c r="AU34" s="41">
        <f t="shared" si="17"/>
        <v>37.132616487455195</v>
      </c>
      <c r="AV34" s="41">
        <f t="shared" si="18"/>
        <v>0.35842293906810035</v>
      </c>
      <c r="AW34" s="41">
        <f t="shared" si="19"/>
        <v>100</v>
      </c>
      <c r="AX34" s="41">
        <f t="shared" si="20"/>
        <v>0.8243727598566308</v>
      </c>
      <c r="AY34" s="41">
        <f t="shared" si="21"/>
        <v>4.874551971326166</v>
      </c>
      <c r="AZ34" s="41">
        <f t="shared" si="22"/>
        <v>81.11111111111111</v>
      </c>
      <c r="BA34" s="41">
        <f t="shared" si="23"/>
        <v>0</v>
      </c>
      <c r="BB34" s="41">
        <f t="shared" si="24"/>
        <v>0</v>
      </c>
      <c r="BC34" s="41">
        <f t="shared" si="25"/>
        <v>1.5412186379928317</v>
      </c>
      <c r="BD34" s="41">
        <f t="shared" si="26"/>
        <v>11.648745519713263</v>
      </c>
      <c r="BE34" s="24">
        <f t="shared" si="27"/>
        <v>100</v>
      </c>
      <c r="BF34" s="45"/>
      <c r="BG34" t="s">
        <v>120</v>
      </c>
      <c r="BH34" t="s">
        <v>94</v>
      </c>
      <c r="BI34" t="s">
        <v>125</v>
      </c>
      <c r="BJ34" s="25">
        <f t="shared" si="28"/>
        <v>14753</v>
      </c>
      <c r="BK34" s="25">
        <f t="shared" si="29"/>
        <v>2790</v>
      </c>
      <c r="BL34" s="24">
        <f t="shared" si="30"/>
        <v>26.30824372759857</v>
      </c>
      <c r="BM34" s="24">
        <f t="shared" si="31"/>
        <v>55.340501792114694</v>
      </c>
      <c r="BN34" s="24">
        <f t="shared" si="32"/>
        <v>11.648745519713263</v>
      </c>
    </row>
    <row r="35" spans="2:66" ht="15">
      <c r="B35" s="32" t="s">
        <v>92</v>
      </c>
      <c r="C35" s="32" t="s">
        <v>120</v>
      </c>
      <c r="D35" s="33" t="s">
        <v>97</v>
      </c>
      <c r="E35" s="33" t="s">
        <v>126</v>
      </c>
      <c r="F35" s="35">
        <v>8840</v>
      </c>
      <c r="G35" s="35">
        <v>1753</v>
      </c>
      <c r="H35" s="35">
        <v>1104</v>
      </c>
      <c r="I35" s="35">
        <v>113</v>
      </c>
      <c r="J35" s="35">
        <v>441</v>
      </c>
      <c r="K35" s="35">
        <v>58</v>
      </c>
      <c r="L35" s="35">
        <v>36</v>
      </c>
      <c r="M35" s="35">
        <f t="shared" si="2"/>
        <v>1752</v>
      </c>
      <c r="N35" s="35">
        <v>176</v>
      </c>
      <c r="O35" s="35">
        <v>62</v>
      </c>
      <c r="P35" s="35">
        <v>119</v>
      </c>
      <c r="Q35" s="35">
        <v>29</v>
      </c>
      <c r="R35" s="35">
        <v>358</v>
      </c>
      <c r="S35" s="44">
        <f>1009-1</f>
        <v>1008</v>
      </c>
      <c r="T35" s="35">
        <v>0</v>
      </c>
      <c r="U35" s="35">
        <f t="shared" si="3"/>
        <v>1752</v>
      </c>
      <c r="V35" s="35">
        <v>0</v>
      </c>
      <c r="W35" s="35">
        <v>249</v>
      </c>
      <c r="X35" s="35">
        <v>848</v>
      </c>
      <c r="Y35" s="35">
        <v>0</v>
      </c>
      <c r="Z35" s="35">
        <v>11</v>
      </c>
      <c r="AA35" s="35">
        <v>27</v>
      </c>
      <c r="AB35" s="44">
        <f>618-1</f>
        <v>617</v>
      </c>
      <c r="AC35" s="35">
        <f t="shared" si="4"/>
        <v>1752</v>
      </c>
      <c r="AD35" s="42"/>
      <c r="AE35" s="43"/>
      <c r="AF35" t="s">
        <v>120</v>
      </c>
      <c r="AG35" s="37" t="s">
        <v>97</v>
      </c>
      <c r="AH35" s="38" t="s">
        <v>126</v>
      </c>
      <c r="AI35" s="40">
        <f t="shared" si="5"/>
        <v>1753</v>
      </c>
      <c r="AJ35" s="41">
        <f t="shared" si="6"/>
        <v>63.013698630136986</v>
      </c>
      <c r="AK35" s="41">
        <f t="shared" si="7"/>
        <v>6.449771689497717</v>
      </c>
      <c r="AL35" s="41">
        <f t="shared" si="8"/>
        <v>25.17123287671233</v>
      </c>
      <c r="AM35" s="41">
        <f t="shared" si="9"/>
        <v>3.3105022831050226</v>
      </c>
      <c r="AN35" s="41">
        <f t="shared" si="10"/>
        <v>2.054794520547945</v>
      </c>
      <c r="AO35" s="41">
        <f t="shared" si="11"/>
        <v>100</v>
      </c>
      <c r="AP35" s="41">
        <f t="shared" si="12"/>
        <v>10.045662100456621</v>
      </c>
      <c r="AQ35" s="41">
        <f t="shared" si="13"/>
        <v>3.5388127853881275</v>
      </c>
      <c r="AR35" s="41">
        <f t="shared" si="14"/>
        <v>6.792237442922374</v>
      </c>
      <c r="AS35" s="41">
        <f t="shared" si="15"/>
        <v>1.6552511415525113</v>
      </c>
      <c r="AT35" s="41">
        <f t="shared" si="16"/>
        <v>20.4337899543379</v>
      </c>
      <c r="AU35" s="41">
        <f t="shared" si="17"/>
        <v>57.534246575342465</v>
      </c>
      <c r="AV35" s="41">
        <f t="shared" si="18"/>
        <v>0</v>
      </c>
      <c r="AW35" s="41">
        <f t="shared" si="19"/>
        <v>100</v>
      </c>
      <c r="AX35" s="41">
        <f t="shared" si="20"/>
        <v>0</v>
      </c>
      <c r="AY35" s="41">
        <f t="shared" si="21"/>
        <v>14.212328767123289</v>
      </c>
      <c r="AZ35" s="41">
        <f t="shared" si="22"/>
        <v>48.401826484018265</v>
      </c>
      <c r="BA35" s="41">
        <f t="shared" si="23"/>
        <v>0</v>
      </c>
      <c r="BB35" s="41">
        <f t="shared" si="24"/>
        <v>0.6278538812785388</v>
      </c>
      <c r="BC35" s="41">
        <f t="shared" si="25"/>
        <v>1.5410958904109588</v>
      </c>
      <c r="BD35" s="41">
        <f t="shared" si="26"/>
        <v>35.21689497716895</v>
      </c>
      <c r="BE35" s="24">
        <f t="shared" si="27"/>
        <v>100</v>
      </c>
      <c r="BF35" s="43"/>
      <c r="BG35" t="s">
        <v>120</v>
      </c>
      <c r="BH35" t="s">
        <v>97</v>
      </c>
      <c r="BI35" t="s">
        <v>126</v>
      </c>
      <c r="BJ35" s="25">
        <f t="shared" si="28"/>
        <v>8840</v>
      </c>
      <c r="BK35" s="25">
        <f t="shared" si="29"/>
        <v>1753</v>
      </c>
      <c r="BL35" s="24">
        <f t="shared" si="30"/>
        <v>36.986301369863014</v>
      </c>
      <c r="BM35" s="24">
        <f t="shared" si="31"/>
        <v>89.95433789954338</v>
      </c>
      <c r="BN35" s="24">
        <f t="shared" si="32"/>
        <v>35.21689497716895</v>
      </c>
    </row>
    <row r="36" spans="2:66" ht="15">
      <c r="B36" s="32" t="s">
        <v>92</v>
      </c>
      <c r="C36" s="32" t="s">
        <v>120</v>
      </c>
      <c r="D36" s="33" t="s">
        <v>97</v>
      </c>
      <c r="E36" s="33" t="s">
        <v>127</v>
      </c>
      <c r="F36" s="35">
        <v>4442</v>
      </c>
      <c r="G36" s="35">
        <v>998</v>
      </c>
      <c r="H36" s="35">
        <v>857</v>
      </c>
      <c r="I36" s="35">
        <v>81</v>
      </c>
      <c r="J36" s="35">
        <v>47</v>
      </c>
      <c r="K36" s="35">
        <v>12</v>
      </c>
      <c r="L36" s="35">
        <v>0</v>
      </c>
      <c r="M36" s="35">
        <f t="shared" si="2"/>
        <v>997</v>
      </c>
      <c r="N36" s="35">
        <v>789</v>
      </c>
      <c r="O36" s="35">
        <v>46</v>
      </c>
      <c r="P36" s="35">
        <v>14</v>
      </c>
      <c r="Q36" s="35">
        <v>0</v>
      </c>
      <c r="R36" s="35">
        <v>41</v>
      </c>
      <c r="S36" s="44">
        <f>108-1</f>
        <v>107</v>
      </c>
      <c r="T36" s="35">
        <v>0</v>
      </c>
      <c r="U36" s="35">
        <f t="shared" si="3"/>
        <v>997</v>
      </c>
      <c r="V36" s="35">
        <v>37</v>
      </c>
      <c r="W36" s="35">
        <v>147</v>
      </c>
      <c r="X36" s="35">
        <v>637</v>
      </c>
      <c r="Y36" s="35">
        <v>0</v>
      </c>
      <c r="Z36" s="35">
        <v>24</v>
      </c>
      <c r="AA36" s="35">
        <v>34</v>
      </c>
      <c r="AB36" s="44">
        <f>119-1</f>
        <v>118</v>
      </c>
      <c r="AC36" s="35">
        <f t="shared" si="4"/>
        <v>997</v>
      </c>
      <c r="AD36" s="42"/>
      <c r="AE36" s="43"/>
      <c r="AF36" t="s">
        <v>120</v>
      </c>
      <c r="AG36" s="37" t="s">
        <v>97</v>
      </c>
      <c r="AH36" s="38" t="s">
        <v>127</v>
      </c>
      <c r="AI36" s="40">
        <f t="shared" si="5"/>
        <v>998</v>
      </c>
      <c r="AJ36" s="41">
        <f t="shared" si="6"/>
        <v>85.95787362086259</v>
      </c>
      <c r="AK36" s="41">
        <f t="shared" si="7"/>
        <v>8.124373119358076</v>
      </c>
      <c r="AL36" s="41">
        <f t="shared" si="8"/>
        <v>4.714142427281845</v>
      </c>
      <c r="AM36" s="41">
        <f t="shared" si="9"/>
        <v>1.2036108324974923</v>
      </c>
      <c r="AN36" s="41">
        <f t="shared" si="10"/>
        <v>0</v>
      </c>
      <c r="AO36" s="41">
        <f t="shared" si="11"/>
        <v>99.99999999999999</v>
      </c>
      <c r="AP36" s="41">
        <f t="shared" si="12"/>
        <v>79.13741223671012</v>
      </c>
      <c r="AQ36" s="41">
        <f t="shared" si="13"/>
        <v>4.613841524573721</v>
      </c>
      <c r="AR36" s="41">
        <f t="shared" si="14"/>
        <v>1.4042126379137412</v>
      </c>
      <c r="AS36" s="41">
        <f t="shared" si="15"/>
        <v>0</v>
      </c>
      <c r="AT36" s="41">
        <f t="shared" si="16"/>
        <v>4.112337011033099</v>
      </c>
      <c r="AU36" s="41">
        <f t="shared" si="17"/>
        <v>10.732196589769307</v>
      </c>
      <c r="AV36" s="41">
        <f t="shared" si="18"/>
        <v>0</v>
      </c>
      <c r="AW36" s="41">
        <f t="shared" si="19"/>
        <v>99.99999999999999</v>
      </c>
      <c r="AX36" s="41">
        <f t="shared" si="20"/>
        <v>3.711133400200602</v>
      </c>
      <c r="AY36" s="41">
        <f t="shared" si="21"/>
        <v>14.744232698094283</v>
      </c>
      <c r="AZ36" s="41">
        <f t="shared" si="22"/>
        <v>63.89167502507522</v>
      </c>
      <c r="BA36" s="41">
        <f t="shared" si="23"/>
        <v>0</v>
      </c>
      <c r="BB36" s="41">
        <f t="shared" si="24"/>
        <v>2.4072216649949847</v>
      </c>
      <c r="BC36" s="41">
        <f t="shared" si="25"/>
        <v>3.4102306920762286</v>
      </c>
      <c r="BD36" s="41">
        <f t="shared" si="26"/>
        <v>11.835506519558676</v>
      </c>
      <c r="BE36" s="24">
        <f t="shared" si="27"/>
        <v>99.99999999999999</v>
      </c>
      <c r="BF36" s="43"/>
      <c r="BG36" t="s">
        <v>120</v>
      </c>
      <c r="BH36" t="s">
        <v>97</v>
      </c>
      <c r="BI36" t="s">
        <v>127</v>
      </c>
      <c r="BJ36" s="25">
        <f t="shared" si="28"/>
        <v>4442</v>
      </c>
      <c r="BK36" s="25">
        <f t="shared" si="29"/>
        <v>998</v>
      </c>
      <c r="BL36" s="24">
        <f t="shared" si="30"/>
        <v>14.042126379137414</v>
      </c>
      <c r="BM36" s="24">
        <f t="shared" si="31"/>
        <v>20.862587763289866</v>
      </c>
      <c r="BN36" s="24">
        <f t="shared" si="32"/>
        <v>11.835506519558676</v>
      </c>
    </row>
    <row r="37" spans="2:66" ht="15">
      <c r="B37" s="32" t="s">
        <v>92</v>
      </c>
      <c r="C37" s="32" t="s">
        <v>120</v>
      </c>
      <c r="D37" s="33" t="s">
        <v>97</v>
      </c>
      <c r="E37" s="33" t="s">
        <v>128</v>
      </c>
      <c r="F37" s="35">
        <v>6616</v>
      </c>
      <c r="G37" s="35">
        <v>1482</v>
      </c>
      <c r="H37" s="35">
        <v>1243</v>
      </c>
      <c r="I37" s="35">
        <v>99</v>
      </c>
      <c r="J37" s="35">
        <v>124</v>
      </c>
      <c r="K37" s="35">
        <v>7</v>
      </c>
      <c r="L37" s="35">
        <v>7</v>
      </c>
      <c r="M37" s="35">
        <f t="shared" si="2"/>
        <v>1480</v>
      </c>
      <c r="N37" s="35">
        <v>1175</v>
      </c>
      <c r="O37" s="35">
        <v>158</v>
      </c>
      <c r="P37" s="35">
        <v>0</v>
      </c>
      <c r="Q37" s="35">
        <v>0</v>
      </c>
      <c r="R37" s="35">
        <v>59</v>
      </c>
      <c r="S37" s="35">
        <v>81</v>
      </c>
      <c r="T37" s="35">
        <v>7</v>
      </c>
      <c r="U37" s="35">
        <f t="shared" si="3"/>
        <v>1480</v>
      </c>
      <c r="V37" s="35">
        <v>42</v>
      </c>
      <c r="W37" s="35">
        <v>97</v>
      </c>
      <c r="X37" s="35">
        <v>1080</v>
      </c>
      <c r="Y37" s="35">
        <v>0</v>
      </c>
      <c r="Z37" s="35">
        <v>7</v>
      </c>
      <c r="AA37" s="35">
        <v>94</v>
      </c>
      <c r="AB37" s="44">
        <f>161-1</f>
        <v>160</v>
      </c>
      <c r="AC37" s="35">
        <f t="shared" si="4"/>
        <v>1480</v>
      </c>
      <c r="AD37" s="42"/>
      <c r="AE37" s="43"/>
      <c r="AF37" t="s">
        <v>120</v>
      </c>
      <c r="AG37" s="37" t="s">
        <v>97</v>
      </c>
      <c r="AH37" s="38" t="s">
        <v>128</v>
      </c>
      <c r="AI37" s="40">
        <f t="shared" si="5"/>
        <v>1482</v>
      </c>
      <c r="AJ37" s="41">
        <f t="shared" si="6"/>
        <v>83.98648648648648</v>
      </c>
      <c r="AK37" s="41">
        <f t="shared" si="7"/>
        <v>6.689189189189189</v>
      </c>
      <c r="AL37" s="41">
        <f t="shared" si="8"/>
        <v>8.378378378378379</v>
      </c>
      <c r="AM37" s="41">
        <f t="shared" si="9"/>
        <v>0.472972972972973</v>
      </c>
      <c r="AN37" s="41">
        <f t="shared" si="10"/>
        <v>0.472972972972973</v>
      </c>
      <c r="AO37" s="41">
        <f t="shared" si="11"/>
        <v>100</v>
      </c>
      <c r="AP37" s="41">
        <f t="shared" si="12"/>
        <v>79.3918918918919</v>
      </c>
      <c r="AQ37" s="41">
        <f t="shared" si="13"/>
        <v>10.675675675675675</v>
      </c>
      <c r="AR37" s="41">
        <f t="shared" si="14"/>
        <v>0</v>
      </c>
      <c r="AS37" s="41">
        <f t="shared" si="15"/>
        <v>0</v>
      </c>
      <c r="AT37" s="41">
        <f t="shared" si="16"/>
        <v>3.986486486486487</v>
      </c>
      <c r="AU37" s="41">
        <f t="shared" si="17"/>
        <v>5.472972972972974</v>
      </c>
      <c r="AV37" s="41">
        <f t="shared" si="18"/>
        <v>0.472972972972973</v>
      </c>
      <c r="AW37" s="41">
        <f t="shared" si="19"/>
        <v>100</v>
      </c>
      <c r="AX37" s="41">
        <f t="shared" si="20"/>
        <v>2.837837837837838</v>
      </c>
      <c r="AY37" s="41">
        <f t="shared" si="21"/>
        <v>6.5540540540540535</v>
      </c>
      <c r="AZ37" s="41">
        <f t="shared" si="22"/>
        <v>72.97297297297297</v>
      </c>
      <c r="BA37" s="41">
        <f t="shared" si="23"/>
        <v>0</v>
      </c>
      <c r="BB37" s="41">
        <f t="shared" si="24"/>
        <v>0.472972972972973</v>
      </c>
      <c r="BC37" s="41">
        <f t="shared" si="25"/>
        <v>6.351351351351352</v>
      </c>
      <c r="BD37" s="41">
        <f t="shared" si="26"/>
        <v>10.81081081081081</v>
      </c>
      <c r="BE37" s="24">
        <f t="shared" si="27"/>
        <v>99.99999999999999</v>
      </c>
      <c r="BF37" s="43"/>
      <c r="BG37" t="s">
        <v>120</v>
      </c>
      <c r="BH37" t="s">
        <v>97</v>
      </c>
      <c r="BI37" t="s">
        <v>128</v>
      </c>
      <c r="BJ37" s="25">
        <f t="shared" si="28"/>
        <v>6616</v>
      </c>
      <c r="BK37" s="25">
        <f t="shared" si="29"/>
        <v>1482</v>
      </c>
      <c r="BL37" s="24">
        <f t="shared" si="30"/>
        <v>16.013513513513516</v>
      </c>
      <c r="BM37" s="24">
        <f t="shared" si="31"/>
        <v>20.60810810810811</v>
      </c>
      <c r="BN37" s="24">
        <f t="shared" si="32"/>
        <v>10.81081081081081</v>
      </c>
    </row>
    <row r="38" spans="2:66" ht="15">
      <c r="B38" s="32" t="s">
        <v>92</v>
      </c>
      <c r="C38" s="32" t="s">
        <v>120</v>
      </c>
      <c r="D38" s="33" t="s">
        <v>97</v>
      </c>
      <c r="E38" s="33" t="s">
        <v>129</v>
      </c>
      <c r="F38" s="35">
        <v>3015</v>
      </c>
      <c r="G38" s="35">
        <v>561</v>
      </c>
      <c r="H38" s="35">
        <v>504</v>
      </c>
      <c r="I38" s="35">
        <v>21</v>
      </c>
      <c r="J38" s="35">
        <v>27</v>
      </c>
      <c r="K38" s="35">
        <v>0</v>
      </c>
      <c r="L38" s="35">
        <v>8</v>
      </c>
      <c r="M38" s="35">
        <f t="shared" si="2"/>
        <v>560</v>
      </c>
      <c r="N38" s="35">
        <v>455</v>
      </c>
      <c r="O38" s="35">
        <v>11</v>
      </c>
      <c r="P38" s="35">
        <v>4</v>
      </c>
      <c r="Q38" s="35">
        <v>0</v>
      </c>
      <c r="R38" s="35">
        <v>4</v>
      </c>
      <c r="S38" s="44">
        <f>87-1</f>
        <v>86</v>
      </c>
      <c r="T38" s="35">
        <v>0</v>
      </c>
      <c r="U38" s="35">
        <f t="shared" si="3"/>
        <v>560</v>
      </c>
      <c r="V38" s="35">
        <v>17</v>
      </c>
      <c r="W38" s="35">
        <v>137</v>
      </c>
      <c r="X38" s="35">
        <v>369</v>
      </c>
      <c r="Y38" s="35">
        <v>0</v>
      </c>
      <c r="Z38" s="35">
        <v>0</v>
      </c>
      <c r="AA38" s="35">
        <v>0</v>
      </c>
      <c r="AB38" s="35">
        <v>37</v>
      </c>
      <c r="AC38" s="35">
        <f t="shared" si="4"/>
        <v>560</v>
      </c>
      <c r="AD38" s="42"/>
      <c r="AE38" s="42"/>
      <c r="AF38" t="s">
        <v>120</v>
      </c>
      <c r="AG38" s="37" t="s">
        <v>97</v>
      </c>
      <c r="AH38" s="38" t="s">
        <v>129</v>
      </c>
      <c r="AI38" s="40">
        <f t="shared" si="5"/>
        <v>561</v>
      </c>
      <c r="AJ38" s="41">
        <f t="shared" si="6"/>
        <v>90</v>
      </c>
      <c r="AK38" s="41">
        <f t="shared" si="7"/>
        <v>3.75</v>
      </c>
      <c r="AL38" s="41">
        <f t="shared" si="8"/>
        <v>4.821428571428572</v>
      </c>
      <c r="AM38" s="41">
        <f t="shared" si="9"/>
        <v>0</v>
      </c>
      <c r="AN38" s="41">
        <f t="shared" si="10"/>
        <v>1.4285714285714286</v>
      </c>
      <c r="AO38" s="41">
        <f t="shared" si="11"/>
        <v>100</v>
      </c>
      <c r="AP38" s="41">
        <f t="shared" si="12"/>
        <v>81.25</v>
      </c>
      <c r="AQ38" s="41">
        <f t="shared" si="13"/>
        <v>1.9642857142857142</v>
      </c>
      <c r="AR38" s="41">
        <f t="shared" si="14"/>
        <v>0.7142857142857143</v>
      </c>
      <c r="AS38" s="41">
        <f t="shared" si="15"/>
        <v>0</v>
      </c>
      <c r="AT38" s="41">
        <f t="shared" si="16"/>
        <v>0.7142857142857143</v>
      </c>
      <c r="AU38" s="41">
        <f t="shared" si="17"/>
        <v>15.357142857142858</v>
      </c>
      <c r="AV38" s="41">
        <f t="shared" si="18"/>
        <v>0</v>
      </c>
      <c r="AW38" s="41">
        <f t="shared" si="19"/>
        <v>99.99999999999999</v>
      </c>
      <c r="AX38" s="41">
        <f t="shared" si="20"/>
        <v>3.0357142857142856</v>
      </c>
      <c r="AY38" s="41">
        <f t="shared" si="21"/>
        <v>24.46428571428571</v>
      </c>
      <c r="AZ38" s="41">
        <f t="shared" si="22"/>
        <v>65.89285714285714</v>
      </c>
      <c r="BA38" s="41">
        <f t="shared" si="23"/>
        <v>0</v>
      </c>
      <c r="BB38" s="41">
        <f t="shared" si="24"/>
        <v>0</v>
      </c>
      <c r="BC38" s="41">
        <f t="shared" si="25"/>
        <v>0</v>
      </c>
      <c r="BD38" s="41">
        <f t="shared" si="26"/>
        <v>6.607142857142858</v>
      </c>
      <c r="BE38" s="24">
        <f t="shared" si="27"/>
        <v>100</v>
      </c>
      <c r="BF38" s="42"/>
      <c r="BG38" t="s">
        <v>120</v>
      </c>
      <c r="BH38" t="s">
        <v>97</v>
      </c>
      <c r="BI38" t="s">
        <v>129</v>
      </c>
      <c r="BJ38" s="25">
        <f t="shared" si="28"/>
        <v>3015</v>
      </c>
      <c r="BK38" s="25">
        <f t="shared" si="29"/>
        <v>561</v>
      </c>
      <c r="BL38" s="24">
        <f t="shared" si="30"/>
        <v>10.000000000000002</v>
      </c>
      <c r="BM38" s="24">
        <f t="shared" si="31"/>
        <v>18.75</v>
      </c>
      <c r="BN38" s="24">
        <f t="shared" si="32"/>
        <v>6.607142857142858</v>
      </c>
    </row>
    <row r="39" spans="2:66" ht="15">
      <c r="B39" s="32" t="s">
        <v>92</v>
      </c>
      <c r="C39" s="32" t="s">
        <v>120</v>
      </c>
      <c r="D39" s="33" t="s">
        <v>97</v>
      </c>
      <c r="E39" s="33" t="s">
        <v>130</v>
      </c>
      <c r="F39" s="35">
        <v>4792</v>
      </c>
      <c r="G39" s="35">
        <v>871</v>
      </c>
      <c r="H39" s="35">
        <v>714</v>
      </c>
      <c r="I39" s="35">
        <v>57</v>
      </c>
      <c r="J39" s="35">
        <v>102</v>
      </c>
      <c r="K39" s="35">
        <v>0</v>
      </c>
      <c r="L39" s="35">
        <v>0</v>
      </c>
      <c r="M39" s="35">
        <f t="shared" si="2"/>
        <v>873</v>
      </c>
      <c r="N39" s="35">
        <v>555</v>
      </c>
      <c r="O39" s="35">
        <v>28</v>
      </c>
      <c r="P39" s="35">
        <v>68</v>
      </c>
      <c r="Q39" s="35">
        <v>0</v>
      </c>
      <c r="R39" s="35">
        <v>23</v>
      </c>
      <c r="S39" s="35">
        <v>198</v>
      </c>
      <c r="T39" s="44">
        <v>1</v>
      </c>
      <c r="U39" s="35">
        <f t="shared" si="3"/>
        <v>873</v>
      </c>
      <c r="V39" s="35">
        <v>116</v>
      </c>
      <c r="W39" s="35">
        <v>118</v>
      </c>
      <c r="X39" s="35">
        <v>327</v>
      </c>
      <c r="Y39" s="35">
        <v>0</v>
      </c>
      <c r="Z39" s="35">
        <v>0</v>
      </c>
      <c r="AA39" s="35">
        <v>17</v>
      </c>
      <c r="AB39" s="44">
        <f>294+1</f>
        <v>295</v>
      </c>
      <c r="AC39" s="35">
        <f t="shared" si="4"/>
        <v>873</v>
      </c>
      <c r="AD39" s="42"/>
      <c r="AF39" t="s">
        <v>120</v>
      </c>
      <c r="AG39" s="37" t="s">
        <v>97</v>
      </c>
      <c r="AH39" s="38" t="s">
        <v>130</v>
      </c>
      <c r="AI39" s="40">
        <f t="shared" si="5"/>
        <v>871</v>
      </c>
      <c r="AJ39" s="41">
        <f t="shared" si="6"/>
        <v>81.78694158075601</v>
      </c>
      <c r="AK39" s="41">
        <f t="shared" si="7"/>
        <v>6.529209621993128</v>
      </c>
      <c r="AL39" s="41">
        <f t="shared" si="8"/>
        <v>11.683848797250858</v>
      </c>
      <c r="AM39" s="41">
        <f t="shared" si="9"/>
        <v>0</v>
      </c>
      <c r="AN39" s="41">
        <f t="shared" si="10"/>
        <v>0</v>
      </c>
      <c r="AO39" s="41">
        <f t="shared" si="11"/>
        <v>100</v>
      </c>
      <c r="AP39" s="41">
        <f t="shared" si="12"/>
        <v>63.57388316151202</v>
      </c>
      <c r="AQ39" s="41">
        <f t="shared" si="13"/>
        <v>3.2073310423825885</v>
      </c>
      <c r="AR39" s="41">
        <f t="shared" si="14"/>
        <v>7.789232531500573</v>
      </c>
      <c r="AS39" s="41">
        <f t="shared" si="15"/>
        <v>0</v>
      </c>
      <c r="AT39" s="41">
        <f t="shared" si="16"/>
        <v>2.6345933562428407</v>
      </c>
      <c r="AU39" s="41">
        <f t="shared" si="17"/>
        <v>22.68041237113402</v>
      </c>
      <c r="AV39" s="41">
        <f t="shared" si="18"/>
        <v>0.11454753722794961</v>
      </c>
      <c r="AW39" s="41">
        <f t="shared" si="19"/>
        <v>100</v>
      </c>
      <c r="AX39" s="41">
        <f t="shared" si="20"/>
        <v>13.287514318442154</v>
      </c>
      <c r="AY39" s="41">
        <f t="shared" si="21"/>
        <v>13.516609392898053</v>
      </c>
      <c r="AZ39" s="41">
        <f t="shared" si="22"/>
        <v>37.45704467353952</v>
      </c>
      <c r="BA39" s="41">
        <f t="shared" si="23"/>
        <v>0</v>
      </c>
      <c r="BB39" s="41">
        <f t="shared" si="24"/>
        <v>0</v>
      </c>
      <c r="BC39" s="41">
        <f t="shared" si="25"/>
        <v>1.9473081328751431</v>
      </c>
      <c r="BD39" s="41">
        <f t="shared" si="26"/>
        <v>33.79152348224513</v>
      </c>
      <c r="BE39" s="24">
        <f t="shared" si="27"/>
        <v>100</v>
      </c>
      <c r="BG39" t="s">
        <v>120</v>
      </c>
      <c r="BH39" t="s">
        <v>97</v>
      </c>
      <c r="BI39" t="s">
        <v>130</v>
      </c>
      <c r="BJ39" s="25">
        <f t="shared" si="28"/>
        <v>4792</v>
      </c>
      <c r="BK39" s="25">
        <f t="shared" si="29"/>
        <v>871</v>
      </c>
      <c r="BL39" s="24">
        <f t="shared" si="30"/>
        <v>18.213058419243985</v>
      </c>
      <c r="BM39" s="24">
        <f t="shared" si="31"/>
        <v>36.42611683848797</v>
      </c>
      <c r="BN39" s="24">
        <f t="shared" si="32"/>
        <v>33.79152348224513</v>
      </c>
    </row>
    <row r="40" spans="2:66" ht="15">
      <c r="B40" s="32" t="s">
        <v>92</v>
      </c>
      <c r="C40" s="32" t="s">
        <v>120</v>
      </c>
      <c r="D40" s="33" t="s">
        <v>97</v>
      </c>
      <c r="E40" s="33" t="s">
        <v>131</v>
      </c>
      <c r="F40" s="35">
        <v>3354</v>
      </c>
      <c r="G40" s="35">
        <v>342</v>
      </c>
      <c r="H40" s="35">
        <v>238</v>
      </c>
      <c r="I40" s="35">
        <v>14</v>
      </c>
      <c r="J40" s="35">
        <v>87</v>
      </c>
      <c r="K40" s="35">
        <v>3</v>
      </c>
      <c r="L40" s="35">
        <v>0</v>
      </c>
      <c r="M40" s="35">
        <f t="shared" si="2"/>
        <v>342</v>
      </c>
      <c r="N40" s="35">
        <v>207</v>
      </c>
      <c r="O40" s="35">
        <v>17</v>
      </c>
      <c r="P40" s="35">
        <v>0</v>
      </c>
      <c r="Q40" s="35">
        <v>0</v>
      </c>
      <c r="R40" s="35">
        <v>31</v>
      </c>
      <c r="S40" s="35">
        <v>87</v>
      </c>
      <c r="T40" s="35">
        <v>0</v>
      </c>
      <c r="U40" s="35">
        <f t="shared" si="3"/>
        <v>342</v>
      </c>
      <c r="V40" s="35">
        <v>13</v>
      </c>
      <c r="W40" s="35">
        <v>25</v>
      </c>
      <c r="X40" s="35">
        <v>192</v>
      </c>
      <c r="Y40" s="35">
        <v>0</v>
      </c>
      <c r="Z40" s="35">
        <v>0</v>
      </c>
      <c r="AA40" s="35">
        <v>0</v>
      </c>
      <c r="AB40" s="44">
        <f>113-1</f>
        <v>112</v>
      </c>
      <c r="AC40" s="35">
        <f t="shared" si="4"/>
        <v>342</v>
      </c>
      <c r="AD40" s="42"/>
      <c r="AE40" s="45"/>
      <c r="AF40" t="s">
        <v>120</v>
      </c>
      <c r="AG40" s="37" t="s">
        <v>97</v>
      </c>
      <c r="AH40" s="38" t="s">
        <v>131</v>
      </c>
      <c r="AI40" s="40">
        <f t="shared" si="5"/>
        <v>342</v>
      </c>
      <c r="AJ40" s="41">
        <f t="shared" si="6"/>
        <v>69.5906432748538</v>
      </c>
      <c r="AK40" s="41">
        <f t="shared" si="7"/>
        <v>4.093567251461988</v>
      </c>
      <c r="AL40" s="41">
        <f t="shared" si="8"/>
        <v>25.438596491228072</v>
      </c>
      <c r="AM40" s="41">
        <f t="shared" si="9"/>
        <v>0.8771929824561403</v>
      </c>
      <c r="AN40" s="41">
        <f t="shared" si="10"/>
        <v>0</v>
      </c>
      <c r="AO40" s="41">
        <f t="shared" si="11"/>
        <v>100</v>
      </c>
      <c r="AP40" s="41">
        <f t="shared" si="12"/>
        <v>60.526315789473685</v>
      </c>
      <c r="AQ40" s="41">
        <f t="shared" si="13"/>
        <v>4.970760233918129</v>
      </c>
      <c r="AR40" s="41">
        <f t="shared" si="14"/>
        <v>0</v>
      </c>
      <c r="AS40" s="41">
        <f t="shared" si="15"/>
        <v>0</v>
      </c>
      <c r="AT40" s="41">
        <f t="shared" si="16"/>
        <v>9.064327485380117</v>
      </c>
      <c r="AU40" s="41">
        <f t="shared" si="17"/>
        <v>25.438596491228072</v>
      </c>
      <c r="AV40" s="41">
        <f t="shared" si="18"/>
        <v>0</v>
      </c>
      <c r="AW40" s="41">
        <f t="shared" si="19"/>
        <v>100</v>
      </c>
      <c r="AX40" s="41">
        <f t="shared" si="20"/>
        <v>3.8011695906432745</v>
      </c>
      <c r="AY40" s="41">
        <f t="shared" si="21"/>
        <v>7.309941520467836</v>
      </c>
      <c r="AZ40" s="41">
        <f t="shared" si="22"/>
        <v>56.14035087719298</v>
      </c>
      <c r="BA40" s="41">
        <f t="shared" si="23"/>
        <v>0</v>
      </c>
      <c r="BB40" s="41">
        <f t="shared" si="24"/>
        <v>0</v>
      </c>
      <c r="BC40" s="41">
        <f t="shared" si="25"/>
        <v>0</v>
      </c>
      <c r="BD40" s="41">
        <f t="shared" si="26"/>
        <v>32.748538011695906</v>
      </c>
      <c r="BE40" s="24">
        <f t="shared" si="27"/>
        <v>100</v>
      </c>
      <c r="BF40" s="45"/>
      <c r="BG40" t="s">
        <v>120</v>
      </c>
      <c r="BH40" t="s">
        <v>97</v>
      </c>
      <c r="BI40" t="s">
        <v>131</v>
      </c>
      <c r="BJ40" s="25">
        <f t="shared" si="28"/>
        <v>3354</v>
      </c>
      <c r="BK40" s="25">
        <f t="shared" si="29"/>
        <v>342</v>
      </c>
      <c r="BL40" s="24">
        <f t="shared" si="30"/>
        <v>30.4093567251462</v>
      </c>
      <c r="BM40" s="24">
        <f t="shared" si="31"/>
        <v>39.473684210526315</v>
      </c>
      <c r="BN40" s="24">
        <f t="shared" si="32"/>
        <v>32.748538011695906</v>
      </c>
    </row>
    <row r="41" spans="2:66" ht="15">
      <c r="B41" s="32" t="s">
        <v>92</v>
      </c>
      <c r="C41" s="32" t="s">
        <v>120</v>
      </c>
      <c r="D41" s="33" t="s">
        <v>97</v>
      </c>
      <c r="E41" s="33" t="s">
        <v>132</v>
      </c>
      <c r="F41" s="35">
        <v>2075</v>
      </c>
      <c r="G41" s="35">
        <v>386</v>
      </c>
      <c r="H41" s="35">
        <v>342</v>
      </c>
      <c r="I41" s="35">
        <v>11</v>
      </c>
      <c r="J41" s="35">
        <v>32</v>
      </c>
      <c r="K41" s="35">
        <v>1</v>
      </c>
      <c r="L41" s="35">
        <v>0</v>
      </c>
      <c r="M41" s="35">
        <f t="shared" si="2"/>
        <v>386</v>
      </c>
      <c r="N41" s="35">
        <v>290</v>
      </c>
      <c r="O41" s="35">
        <v>11</v>
      </c>
      <c r="P41" s="35">
        <v>23</v>
      </c>
      <c r="Q41" s="35">
        <v>4</v>
      </c>
      <c r="R41" s="35">
        <v>11</v>
      </c>
      <c r="S41" s="44">
        <f>48-1</f>
        <v>47</v>
      </c>
      <c r="T41" s="35">
        <v>0</v>
      </c>
      <c r="U41" s="35">
        <f t="shared" si="3"/>
        <v>386</v>
      </c>
      <c r="V41" s="35">
        <v>0</v>
      </c>
      <c r="W41" s="35">
        <v>30</v>
      </c>
      <c r="X41" s="35">
        <v>290</v>
      </c>
      <c r="Y41" s="35">
        <v>0</v>
      </c>
      <c r="Z41" s="35">
        <v>0</v>
      </c>
      <c r="AA41" s="35">
        <v>4</v>
      </c>
      <c r="AB41" s="44">
        <f>63-1</f>
        <v>62</v>
      </c>
      <c r="AC41" s="35">
        <f t="shared" si="4"/>
        <v>386</v>
      </c>
      <c r="AD41" s="42"/>
      <c r="AE41" s="43"/>
      <c r="AF41" t="s">
        <v>120</v>
      </c>
      <c r="AG41" s="37" t="s">
        <v>97</v>
      </c>
      <c r="AH41" s="38" t="s">
        <v>132</v>
      </c>
      <c r="AI41" s="40">
        <f t="shared" si="5"/>
        <v>386</v>
      </c>
      <c r="AJ41" s="41">
        <f t="shared" si="6"/>
        <v>88.60103626943005</v>
      </c>
      <c r="AK41" s="41">
        <f t="shared" si="7"/>
        <v>2.849740932642487</v>
      </c>
      <c r="AL41" s="41">
        <f t="shared" si="8"/>
        <v>8.290155440414509</v>
      </c>
      <c r="AM41" s="41">
        <f t="shared" si="9"/>
        <v>0.2590673575129534</v>
      </c>
      <c r="AN41" s="41">
        <f t="shared" si="10"/>
        <v>0</v>
      </c>
      <c r="AO41" s="41">
        <f t="shared" si="11"/>
        <v>100</v>
      </c>
      <c r="AP41" s="41">
        <f t="shared" si="12"/>
        <v>75.12953367875647</v>
      </c>
      <c r="AQ41" s="41">
        <f t="shared" si="13"/>
        <v>2.849740932642487</v>
      </c>
      <c r="AR41" s="41">
        <f t="shared" si="14"/>
        <v>5.958549222797927</v>
      </c>
      <c r="AS41" s="41">
        <f t="shared" si="15"/>
        <v>1.0362694300518136</v>
      </c>
      <c r="AT41" s="41">
        <f t="shared" si="16"/>
        <v>2.849740932642487</v>
      </c>
      <c r="AU41" s="41">
        <f t="shared" si="17"/>
        <v>12.176165803108809</v>
      </c>
      <c r="AV41" s="41">
        <f t="shared" si="18"/>
        <v>0</v>
      </c>
      <c r="AW41" s="41">
        <f t="shared" si="19"/>
        <v>100</v>
      </c>
      <c r="AX41" s="41">
        <f t="shared" si="20"/>
        <v>0</v>
      </c>
      <c r="AY41" s="41">
        <f t="shared" si="21"/>
        <v>7.772020725388601</v>
      </c>
      <c r="AZ41" s="41">
        <f t="shared" si="22"/>
        <v>75.12953367875647</v>
      </c>
      <c r="BA41" s="41">
        <f t="shared" si="23"/>
        <v>0</v>
      </c>
      <c r="BB41" s="41">
        <f t="shared" si="24"/>
        <v>0</v>
      </c>
      <c r="BC41" s="41">
        <f t="shared" si="25"/>
        <v>1.0362694300518136</v>
      </c>
      <c r="BD41" s="41">
        <f t="shared" si="26"/>
        <v>16.06217616580311</v>
      </c>
      <c r="BE41" s="24">
        <f t="shared" si="27"/>
        <v>100</v>
      </c>
      <c r="BF41" s="43"/>
      <c r="BG41" t="s">
        <v>120</v>
      </c>
      <c r="BH41" t="s">
        <v>97</v>
      </c>
      <c r="BI41" t="s">
        <v>132</v>
      </c>
      <c r="BJ41" s="25">
        <f t="shared" si="28"/>
        <v>2075</v>
      </c>
      <c r="BK41" s="25">
        <f t="shared" si="29"/>
        <v>386</v>
      </c>
      <c r="BL41" s="24">
        <f t="shared" si="30"/>
        <v>11.39896373056995</v>
      </c>
      <c r="BM41" s="24">
        <f t="shared" si="31"/>
        <v>24.870466321243523</v>
      </c>
      <c r="BN41" s="24">
        <f t="shared" si="32"/>
        <v>16.06217616580311</v>
      </c>
    </row>
    <row r="42" spans="2:66" ht="14.25">
      <c r="B42" s="32" t="s">
        <v>92</v>
      </c>
      <c r="C42" s="32" t="s">
        <v>120</v>
      </c>
      <c r="D42" s="33" t="s">
        <v>97</v>
      </c>
      <c r="E42" s="33" t="s">
        <v>133</v>
      </c>
      <c r="F42" s="35">
        <v>1092</v>
      </c>
      <c r="G42" s="35">
        <v>262</v>
      </c>
      <c r="H42" s="35">
        <v>247</v>
      </c>
      <c r="I42" s="35">
        <v>10</v>
      </c>
      <c r="J42" s="35">
        <v>4</v>
      </c>
      <c r="K42" s="35">
        <v>2</v>
      </c>
      <c r="L42" s="35">
        <v>0</v>
      </c>
      <c r="M42" s="35">
        <f aca="true" t="shared" si="33" ref="M42:M73">+H42+I42+J42+K42+L42</f>
        <v>263</v>
      </c>
      <c r="N42" s="35">
        <v>249</v>
      </c>
      <c r="O42" s="35">
        <v>2</v>
      </c>
      <c r="P42" s="35">
        <v>6</v>
      </c>
      <c r="Q42" s="35">
        <v>0</v>
      </c>
      <c r="R42" s="35">
        <v>2</v>
      </c>
      <c r="S42" s="35">
        <v>4</v>
      </c>
      <c r="T42" s="35">
        <v>0</v>
      </c>
      <c r="U42" s="35">
        <f aca="true" t="shared" si="34" ref="U42:U73">+N42+O42+P42+Q42+R42+S42+T42</f>
        <v>263</v>
      </c>
      <c r="V42" s="35">
        <v>75</v>
      </c>
      <c r="W42" s="35">
        <v>64</v>
      </c>
      <c r="X42" s="35">
        <v>106</v>
      </c>
      <c r="Y42" s="35">
        <v>4</v>
      </c>
      <c r="Z42" s="35">
        <v>0</v>
      </c>
      <c r="AA42" s="35">
        <v>0</v>
      </c>
      <c r="AB42" s="35">
        <v>14</v>
      </c>
      <c r="AC42" s="35">
        <f aca="true" t="shared" si="35" ref="AC42:AC73">+V42+W42+X42+Y42+Z42+AA42+AB42</f>
        <v>263</v>
      </c>
      <c r="AD42" s="42"/>
      <c r="AE42" s="43"/>
      <c r="AF42" t="s">
        <v>120</v>
      </c>
      <c r="AG42" s="37" t="s">
        <v>97</v>
      </c>
      <c r="AH42" s="38" t="s">
        <v>133</v>
      </c>
      <c r="AI42" s="40">
        <f aca="true" t="shared" si="36" ref="AI42:AI73">+G42</f>
        <v>262</v>
      </c>
      <c r="AJ42" s="41">
        <f aca="true" t="shared" si="37" ref="AJ42:AJ73">+H42/$M42*100</f>
        <v>93.91634980988593</v>
      </c>
      <c r="AK42" s="41">
        <f aca="true" t="shared" si="38" ref="AK42:AK73">+I42/$M42*100</f>
        <v>3.802281368821293</v>
      </c>
      <c r="AL42" s="41">
        <f aca="true" t="shared" si="39" ref="AL42:AL73">+J42/$M42*100</f>
        <v>1.520912547528517</v>
      </c>
      <c r="AM42" s="41">
        <f aca="true" t="shared" si="40" ref="AM42:AM73">+K42/$M42*100</f>
        <v>0.7604562737642585</v>
      </c>
      <c r="AN42" s="41">
        <f aca="true" t="shared" si="41" ref="AN42:AN73">+L42/$M42*100</f>
        <v>0</v>
      </c>
      <c r="AO42" s="41">
        <f aca="true" t="shared" si="42" ref="AO42:AO73">+SUM(AJ42:AN42)</f>
        <v>100</v>
      </c>
      <c r="AP42" s="41">
        <f aca="true" t="shared" si="43" ref="AP42:AP73">+N42/$U42*100</f>
        <v>94.67680608365019</v>
      </c>
      <c r="AQ42" s="41">
        <f aca="true" t="shared" si="44" ref="AQ42:AQ73">+O42/$U42*100</f>
        <v>0.7604562737642585</v>
      </c>
      <c r="AR42" s="41">
        <f aca="true" t="shared" si="45" ref="AR42:AR73">+P42/$U42*100</f>
        <v>2.2813688212927756</v>
      </c>
      <c r="AS42" s="41">
        <f aca="true" t="shared" si="46" ref="AS42:AS73">+Q42/$U42*100</f>
        <v>0</v>
      </c>
      <c r="AT42" s="41">
        <f aca="true" t="shared" si="47" ref="AT42:AT73">+R42/$U42*100</f>
        <v>0.7604562737642585</v>
      </c>
      <c r="AU42" s="41">
        <f aca="true" t="shared" si="48" ref="AU42:AU73">+S42/$U42*100</f>
        <v>1.520912547528517</v>
      </c>
      <c r="AV42" s="41">
        <f aca="true" t="shared" si="49" ref="AV42:AV73">+T42/$U42*100</f>
        <v>0</v>
      </c>
      <c r="AW42" s="41">
        <f aca="true" t="shared" si="50" ref="AW42:AW73">+SUM(AP42:AV42)</f>
        <v>100</v>
      </c>
      <c r="AX42" s="41">
        <f aca="true" t="shared" si="51" ref="AX42:AX73">+V42/$AC42*100</f>
        <v>28.517110266159694</v>
      </c>
      <c r="AY42" s="41">
        <f aca="true" t="shared" si="52" ref="AY42:AY73">+W42/$AC42*100</f>
        <v>24.334600760456272</v>
      </c>
      <c r="AZ42" s="41">
        <f aca="true" t="shared" si="53" ref="AZ42:AZ73">+X42/$AC42*100</f>
        <v>40.3041825095057</v>
      </c>
      <c r="BA42" s="41">
        <f aca="true" t="shared" si="54" ref="BA42:BA73">+Y42/$AC42*100</f>
        <v>1.520912547528517</v>
      </c>
      <c r="BB42" s="41">
        <f aca="true" t="shared" si="55" ref="BB42:BB73">+Z42/$AC42*100</f>
        <v>0</v>
      </c>
      <c r="BC42" s="41">
        <f aca="true" t="shared" si="56" ref="BC42:BC73">+AA42/$AC42*100</f>
        <v>0</v>
      </c>
      <c r="BD42" s="41">
        <f aca="true" t="shared" si="57" ref="BD42:BD73">+AB42/$AC42*100</f>
        <v>5.323193916349809</v>
      </c>
      <c r="BE42" s="24">
        <f aca="true" t="shared" si="58" ref="BE42:BE73">+SUM(AX42:BD42)</f>
        <v>99.99999999999999</v>
      </c>
      <c r="BF42" s="43"/>
      <c r="BG42" t="s">
        <v>120</v>
      </c>
      <c r="BH42" t="s">
        <v>97</v>
      </c>
      <c r="BI42" t="s">
        <v>133</v>
      </c>
      <c r="BJ42" s="25">
        <f aca="true" t="shared" si="59" ref="BJ42:BJ73">+F42</f>
        <v>1092</v>
      </c>
      <c r="BK42" s="25">
        <f aca="true" t="shared" si="60" ref="BK42:BK73">+G42</f>
        <v>262</v>
      </c>
      <c r="BL42" s="24">
        <f aca="true" t="shared" si="61" ref="BL42:BL73">AK42+AL42+AM42+AN42</f>
        <v>6.083650190114069</v>
      </c>
      <c r="BM42" s="24">
        <f aca="true" t="shared" si="62" ref="BM42:BM73">+AQ42+AR42+AS42+AT42+AU42+AV42</f>
        <v>5.323193916349809</v>
      </c>
      <c r="BN42" s="24">
        <f aca="true" t="shared" si="63" ref="BN42:BN73">+BD42</f>
        <v>5.323193916349809</v>
      </c>
    </row>
    <row r="43" spans="2:66" ht="15">
      <c r="B43" s="32" t="s">
        <v>92</v>
      </c>
      <c r="C43" s="32" t="s">
        <v>120</v>
      </c>
      <c r="D43" s="33" t="s">
        <v>97</v>
      </c>
      <c r="E43" s="33" t="s">
        <v>134</v>
      </c>
      <c r="F43" s="35">
        <v>2200</v>
      </c>
      <c r="G43" s="35">
        <v>490</v>
      </c>
      <c r="H43" s="35">
        <v>418</v>
      </c>
      <c r="I43" s="35">
        <v>13</v>
      </c>
      <c r="J43" s="35">
        <v>46</v>
      </c>
      <c r="K43" s="35">
        <v>13</v>
      </c>
      <c r="L43" s="35">
        <v>0</v>
      </c>
      <c r="M43" s="35">
        <f t="shared" si="33"/>
        <v>490</v>
      </c>
      <c r="N43" s="35">
        <v>375</v>
      </c>
      <c r="O43" s="35">
        <v>14</v>
      </c>
      <c r="P43" s="35">
        <v>17</v>
      </c>
      <c r="Q43" s="35">
        <v>0</v>
      </c>
      <c r="R43" s="35">
        <v>9</v>
      </c>
      <c r="S43" s="35">
        <v>74</v>
      </c>
      <c r="T43" s="44">
        <v>1</v>
      </c>
      <c r="U43" s="35">
        <f t="shared" si="34"/>
        <v>490</v>
      </c>
      <c r="V43" s="35">
        <v>41</v>
      </c>
      <c r="W43" s="35">
        <v>62</v>
      </c>
      <c r="X43" s="35">
        <v>357</v>
      </c>
      <c r="Y43" s="35">
        <v>0</v>
      </c>
      <c r="Z43" s="35">
        <v>7</v>
      </c>
      <c r="AA43" s="35">
        <v>9</v>
      </c>
      <c r="AB43" s="35">
        <v>14</v>
      </c>
      <c r="AC43" s="35">
        <f t="shared" si="35"/>
        <v>490</v>
      </c>
      <c r="AD43" s="42"/>
      <c r="AE43" s="43"/>
      <c r="AF43" t="s">
        <v>120</v>
      </c>
      <c r="AG43" s="37" t="s">
        <v>97</v>
      </c>
      <c r="AH43" s="38" t="s">
        <v>134</v>
      </c>
      <c r="AI43" s="40">
        <f t="shared" si="36"/>
        <v>490</v>
      </c>
      <c r="AJ43" s="41">
        <f t="shared" si="37"/>
        <v>85.3061224489796</v>
      </c>
      <c r="AK43" s="41">
        <f t="shared" si="38"/>
        <v>2.6530612244897958</v>
      </c>
      <c r="AL43" s="41">
        <f t="shared" si="39"/>
        <v>9.387755102040817</v>
      </c>
      <c r="AM43" s="41">
        <f t="shared" si="40"/>
        <v>2.6530612244897958</v>
      </c>
      <c r="AN43" s="41">
        <f t="shared" si="41"/>
        <v>0</v>
      </c>
      <c r="AO43" s="41">
        <f t="shared" si="42"/>
        <v>99.99999999999999</v>
      </c>
      <c r="AP43" s="41">
        <f t="shared" si="43"/>
        <v>76.53061224489795</v>
      </c>
      <c r="AQ43" s="41">
        <f t="shared" si="44"/>
        <v>2.857142857142857</v>
      </c>
      <c r="AR43" s="41">
        <f t="shared" si="45"/>
        <v>3.4693877551020407</v>
      </c>
      <c r="AS43" s="41">
        <f t="shared" si="46"/>
        <v>0</v>
      </c>
      <c r="AT43" s="41">
        <f t="shared" si="47"/>
        <v>1.8367346938775513</v>
      </c>
      <c r="AU43" s="41">
        <f t="shared" si="48"/>
        <v>15.10204081632653</v>
      </c>
      <c r="AV43" s="41">
        <f t="shared" si="49"/>
        <v>0.20408163265306123</v>
      </c>
      <c r="AW43" s="41">
        <f t="shared" si="50"/>
        <v>100</v>
      </c>
      <c r="AX43" s="41">
        <f t="shared" si="51"/>
        <v>8.36734693877551</v>
      </c>
      <c r="AY43" s="41">
        <f t="shared" si="52"/>
        <v>12.653061224489795</v>
      </c>
      <c r="AZ43" s="41">
        <f t="shared" si="53"/>
        <v>72.85714285714285</v>
      </c>
      <c r="BA43" s="41">
        <f t="shared" si="54"/>
        <v>0</v>
      </c>
      <c r="BB43" s="41">
        <f t="shared" si="55"/>
        <v>1.4285714285714286</v>
      </c>
      <c r="BC43" s="41">
        <f t="shared" si="56"/>
        <v>1.8367346938775513</v>
      </c>
      <c r="BD43" s="41">
        <f t="shared" si="57"/>
        <v>2.857142857142857</v>
      </c>
      <c r="BE43" s="24">
        <f t="shared" si="58"/>
        <v>99.99999999999999</v>
      </c>
      <c r="BF43" s="43"/>
      <c r="BG43" t="s">
        <v>120</v>
      </c>
      <c r="BH43" t="s">
        <v>97</v>
      </c>
      <c r="BI43" t="s">
        <v>134</v>
      </c>
      <c r="BJ43" s="25">
        <f t="shared" si="59"/>
        <v>2200</v>
      </c>
      <c r="BK43" s="25">
        <f t="shared" si="60"/>
        <v>490</v>
      </c>
      <c r="BL43" s="24">
        <f t="shared" si="61"/>
        <v>14.69387755102041</v>
      </c>
      <c r="BM43" s="24">
        <f t="shared" si="62"/>
        <v>23.46938775510204</v>
      </c>
      <c r="BN43" s="24">
        <f t="shared" si="63"/>
        <v>2.857142857142857</v>
      </c>
    </row>
    <row r="44" spans="2:66" ht="15">
      <c r="B44" s="32" t="s">
        <v>92</v>
      </c>
      <c r="C44" s="32" t="s">
        <v>120</v>
      </c>
      <c r="D44" s="33" t="s">
        <v>97</v>
      </c>
      <c r="E44" s="33" t="s">
        <v>135</v>
      </c>
      <c r="F44" s="35">
        <v>2113</v>
      </c>
      <c r="G44" s="35">
        <v>501</v>
      </c>
      <c r="H44" s="35">
        <v>436</v>
      </c>
      <c r="I44" s="35">
        <v>22</v>
      </c>
      <c r="J44" s="35">
        <v>42</v>
      </c>
      <c r="K44" s="35">
        <v>0</v>
      </c>
      <c r="L44" s="35">
        <v>0</v>
      </c>
      <c r="M44" s="35">
        <f t="shared" si="33"/>
        <v>500</v>
      </c>
      <c r="N44" s="35">
        <v>293</v>
      </c>
      <c r="O44" s="35">
        <v>23</v>
      </c>
      <c r="P44" s="35">
        <v>121</v>
      </c>
      <c r="Q44" s="35">
        <v>0</v>
      </c>
      <c r="R44" s="35">
        <v>17</v>
      </c>
      <c r="S44" s="44">
        <f>47-1</f>
        <v>46</v>
      </c>
      <c r="T44" s="35">
        <v>0</v>
      </c>
      <c r="U44" s="35">
        <f t="shared" si="34"/>
        <v>500</v>
      </c>
      <c r="V44" s="35">
        <v>19</v>
      </c>
      <c r="W44" s="35">
        <v>88</v>
      </c>
      <c r="X44" s="35">
        <v>327</v>
      </c>
      <c r="Y44" s="35">
        <v>0</v>
      </c>
      <c r="Z44" s="35">
        <v>0</v>
      </c>
      <c r="AA44" s="35">
        <v>8</v>
      </c>
      <c r="AB44" s="44">
        <f>59-1</f>
        <v>58</v>
      </c>
      <c r="AC44" s="35">
        <f t="shared" si="35"/>
        <v>500</v>
      </c>
      <c r="AD44" s="42"/>
      <c r="AE44" s="43"/>
      <c r="AF44" t="s">
        <v>120</v>
      </c>
      <c r="AG44" s="37" t="s">
        <v>97</v>
      </c>
      <c r="AH44" s="38" t="s">
        <v>135</v>
      </c>
      <c r="AI44" s="40">
        <f t="shared" si="36"/>
        <v>501</v>
      </c>
      <c r="AJ44" s="41">
        <f t="shared" si="37"/>
        <v>87.2</v>
      </c>
      <c r="AK44" s="41">
        <f t="shared" si="38"/>
        <v>4.3999999999999995</v>
      </c>
      <c r="AL44" s="41">
        <f t="shared" si="39"/>
        <v>8.4</v>
      </c>
      <c r="AM44" s="41">
        <f t="shared" si="40"/>
        <v>0</v>
      </c>
      <c r="AN44" s="41">
        <f t="shared" si="41"/>
        <v>0</v>
      </c>
      <c r="AO44" s="41">
        <f t="shared" si="42"/>
        <v>100.00000000000001</v>
      </c>
      <c r="AP44" s="41">
        <f t="shared" si="43"/>
        <v>58.599999999999994</v>
      </c>
      <c r="AQ44" s="41">
        <f t="shared" si="44"/>
        <v>4.6</v>
      </c>
      <c r="AR44" s="41">
        <f t="shared" si="45"/>
        <v>24.2</v>
      </c>
      <c r="AS44" s="41">
        <f t="shared" si="46"/>
        <v>0</v>
      </c>
      <c r="AT44" s="41">
        <f t="shared" si="47"/>
        <v>3.4000000000000004</v>
      </c>
      <c r="AU44" s="41">
        <f t="shared" si="48"/>
        <v>9.2</v>
      </c>
      <c r="AV44" s="41">
        <f t="shared" si="49"/>
        <v>0</v>
      </c>
      <c r="AW44" s="41">
        <f t="shared" si="50"/>
        <v>100</v>
      </c>
      <c r="AX44" s="41">
        <f t="shared" si="51"/>
        <v>3.8</v>
      </c>
      <c r="AY44" s="41">
        <f t="shared" si="52"/>
        <v>17.599999999999998</v>
      </c>
      <c r="AZ44" s="41">
        <f t="shared" si="53"/>
        <v>65.4</v>
      </c>
      <c r="BA44" s="41">
        <f t="shared" si="54"/>
        <v>0</v>
      </c>
      <c r="BB44" s="41">
        <f t="shared" si="55"/>
        <v>0</v>
      </c>
      <c r="BC44" s="41">
        <f t="shared" si="56"/>
        <v>1.6</v>
      </c>
      <c r="BD44" s="41">
        <f t="shared" si="57"/>
        <v>11.600000000000001</v>
      </c>
      <c r="BE44" s="24">
        <f t="shared" si="58"/>
        <v>100</v>
      </c>
      <c r="BF44" s="43"/>
      <c r="BG44" t="s">
        <v>120</v>
      </c>
      <c r="BH44" t="s">
        <v>97</v>
      </c>
      <c r="BI44" t="s">
        <v>135</v>
      </c>
      <c r="BJ44" s="25">
        <f t="shared" si="59"/>
        <v>2113</v>
      </c>
      <c r="BK44" s="25">
        <f t="shared" si="60"/>
        <v>501</v>
      </c>
      <c r="BL44" s="24">
        <f t="shared" si="61"/>
        <v>12.8</v>
      </c>
      <c r="BM44" s="24">
        <f t="shared" si="62"/>
        <v>41.39999999999999</v>
      </c>
      <c r="BN44" s="24">
        <f t="shared" si="63"/>
        <v>11.600000000000001</v>
      </c>
    </row>
    <row r="45" spans="2:66" ht="15">
      <c r="B45" s="32" t="s">
        <v>92</v>
      </c>
      <c r="C45" s="32" t="s">
        <v>120</v>
      </c>
      <c r="D45" s="33" t="s">
        <v>97</v>
      </c>
      <c r="E45" s="33" t="s">
        <v>136</v>
      </c>
      <c r="F45" s="35">
        <v>2472</v>
      </c>
      <c r="G45" s="35">
        <v>569</v>
      </c>
      <c r="H45" s="35">
        <v>480</v>
      </c>
      <c r="I45" s="35">
        <v>31</v>
      </c>
      <c r="J45" s="35">
        <v>41</v>
      </c>
      <c r="K45" s="35">
        <v>12</v>
      </c>
      <c r="L45" s="35">
        <v>5</v>
      </c>
      <c r="M45" s="35">
        <f t="shared" si="33"/>
        <v>569</v>
      </c>
      <c r="N45" s="35">
        <v>395</v>
      </c>
      <c r="O45" s="35">
        <v>57</v>
      </c>
      <c r="P45" s="35">
        <v>29</v>
      </c>
      <c r="Q45" s="35">
        <v>0</v>
      </c>
      <c r="R45" s="35">
        <v>28</v>
      </c>
      <c r="S45" s="35">
        <v>60</v>
      </c>
      <c r="T45" s="35">
        <v>0</v>
      </c>
      <c r="U45" s="35">
        <f t="shared" si="34"/>
        <v>569</v>
      </c>
      <c r="V45" s="35">
        <v>63</v>
      </c>
      <c r="W45" s="35">
        <v>115</v>
      </c>
      <c r="X45" s="35">
        <v>316</v>
      </c>
      <c r="Y45" s="35">
        <v>0</v>
      </c>
      <c r="Z45" s="35">
        <v>21</v>
      </c>
      <c r="AA45" s="35">
        <v>9</v>
      </c>
      <c r="AB45" s="44">
        <f>44+1</f>
        <v>45</v>
      </c>
      <c r="AC45" s="35">
        <f t="shared" si="35"/>
        <v>569</v>
      </c>
      <c r="AD45" s="42"/>
      <c r="AE45" s="42"/>
      <c r="AF45" t="s">
        <v>120</v>
      </c>
      <c r="AG45" s="37" t="s">
        <v>97</v>
      </c>
      <c r="AH45" s="38" t="s">
        <v>136</v>
      </c>
      <c r="AI45" s="40">
        <f t="shared" si="36"/>
        <v>569</v>
      </c>
      <c r="AJ45" s="41">
        <f t="shared" si="37"/>
        <v>84.3585237258348</v>
      </c>
      <c r="AK45" s="41">
        <f t="shared" si="38"/>
        <v>5.448154657293498</v>
      </c>
      <c r="AL45" s="41">
        <f t="shared" si="39"/>
        <v>7.205623901581721</v>
      </c>
      <c r="AM45" s="41">
        <f t="shared" si="40"/>
        <v>2.10896309314587</v>
      </c>
      <c r="AN45" s="41">
        <f t="shared" si="41"/>
        <v>0.8787346221441126</v>
      </c>
      <c r="AO45" s="41">
        <f t="shared" si="42"/>
        <v>100</v>
      </c>
      <c r="AP45" s="41">
        <f t="shared" si="43"/>
        <v>69.42003514938489</v>
      </c>
      <c r="AQ45" s="41">
        <f t="shared" si="44"/>
        <v>10.017574692442881</v>
      </c>
      <c r="AR45" s="41">
        <f t="shared" si="45"/>
        <v>5.0966608084358525</v>
      </c>
      <c r="AS45" s="41">
        <f t="shared" si="46"/>
        <v>0</v>
      </c>
      <c r="AT45" s="41">
        <f t="shared" si="47"/>
        <v>4.92091388400703</v>
      </c>
      <c r="AU45" s="41">
        <f t="shared" si="48"/>
        <v>10.54481546572935</v>
      </c>
      <c r="AV45" s="41">
        <f t="shared" si="49"/>
        <v>0</v>
      </c>
      <c r="AW45" s="41">
        <f t="shared" si="50"/>
        <v>100</v>
      </c>
      <c r="AX45" s="41">
        <f t="shared" si="51"/>
        <v>11.072056239015819</v>
      </c>
      <c r="AY45" s="41">
        <f t="shared" si="52"/>
        <v>20.210896309314588</v>
      </c>
      <c r="AZ45" s="41">
        <f t="shared" si="53"/>
        <v>55.536028119507904</v>
      </c>
      <c r="BA45" s="41">
        <f t="shared" si="54"/>
        <v>0</v>
      </c>
      <c r="BB45" s="41">
        <f t="shared" si="55"/>
        <v>3.690685413005272</v>
      </c>
      <c r="BC45" s="41">
        <f t="shared" si="56"/>
        <v>1.5817223198594026</v>
      </c>
      <c r="BD45" s="41">
        <f t="shared" si="57"/>
        <v>7.9086115992970125</v>
      </c>
      <c r="BE45" s="24">
        <f t="shared" si="58"/>
        <v>100</v>
      </c>
      <c r="BF45" s="42"/>
      <c r="BG45" t="s">
        <v>120</v>
      </c>
      <c r="BH45" t="s">
        <v>97</v>
      </c>
      <c r="BI45" t="s">
        <v>136</v>
      </c>
      <c r="BJ45" s="25">
        <f t="shared" si="59"/>
        <v>2472</v>
      </c>
      <c r="BK45" s="25">
        <f t="shared" si="60"/>
        <v>569</v>
      </c>
      <c r="BL45" s="24">
        <f t="shared" si="61"/>
        <v>15.6414762741652</v>
      </c>
      <c r="BM45" s="24">
        <f t="shared" si="62"/>
        <v>30.579964850615113</v>
      </c>
      <c r="BN45" s="24">
        <f t="shared" si="63"/>
        <v>7.9086115992970125</v>
      </c>
    </row>
    <row r="46" spans="2:66" ht="14.25">
      <c r="B46" s="32" t="s">
        <v>92</v>
      </c>
      <c r="C46" s="32" t="s">
        <v>120</v>
      </c>
      <c r="D46" s="33" t="s">
        <v>137</v>
      </c>
      <c r="E46" s="33" t="s">
        <v>138</v>
      </c>
      <c r="F46" s="34">
        <v>17075</v>
      </c>
      <c r="G46" s="34">
        <v>2700</v>
      </c>
      <c r="H46" s="34">
        <v>1383</v>
      </c>
      <c r="I46" s="34">
        <v>42</v>
      </c>
      <c r="J46" s="34">
        <v>1067</v>
      </c>
      <c r="K46" s="34">
        <v>104</v>
      </c>
      <c r="L46" s="34">
        <v>104</v>
      </c>
      <c r="M46" s="35">
        <f t="shared" si="33"/>
        <v>2700</v>
      </c>
      <c r="N46" s="34">
        <v>645</v>
      </c>
      <c r="O46" s="34">
        <v>59</v>
      </c>
      <c r="P46" s="34">
        <v>0</v>
      </c>
      <c r="Q46" s="34">
        <v>0</v>
      </c>
      <c r="R46" s="34">
        <v>208</v>
      </c>
      <c r="S46" s="34">
        <v>1788</v>
      </c>
      <c r="T46" s="34">
        <v>0</v>
      </c>
      <c r="U46" s="35">
        <f t="shared" si="34"/>
        <v>2700</v>
      </c>
      <c r="V46" s="35">
        <v>12</v>
      </c>
      <c r="W46" s="35">
        <v>96</v>
      </c>
      <c r="X46" s="35">
        <v>1539</v>
      </c>
      <c r="Y46" s="35">
        <v>0</v>
      </c>
      <c r="Z46" s="35">
        <v>0</v>
      </c>
      <c r="AA46" s="35">
        <v>45</v>
      </c>
      <c r="AB46" s="35">
        <v>1008</v>
      </c>
      <c r="AC46" s="35">
        <f t="shared" si="35"/>
        <v>2700</v>
      </c>
      <c r="AD46" s="42"/>
      <c r="AF46" t="s">
        <v>120</v>
      </c>
      <c r="AG46" s="37" t="s">
        <v>137</v>
      </c>
      <c r="AH46" s="38" t="s">
        <v>138</v>
      </c>
      <c r="AI46" s="40">
        <f t="shared" si="36"/>
        <v>2700</v>
      </c>
      <c r="AJ46" s="41">
        <f t="shared" si="37"/>
        <v>51.22222222222222</v>
      </c>
      <c r="AK46" s="41">
        <f t="shared" si="38"/>
        <v>1.5555555555555556</v>
      </c>
      <c r="AL46" s="41">
        <f t="shared" si="39"/>
        <v>39.51851851851852</v>
      </c>
      <c r="AM46" s="41">
        <f t="shared" si="40"/>
        <v>3.851851851851852</v>
      </c>
      <c r="AN46" s="41">
        <f t="shared" si="41"/>
        <v>3.851851851851852</v>
      </c>
      <c r="AO46" s="41">
        <f t="shared" si="42"/>
        <v>100</v>
      </c>
      <c r="AP46" s="41">
        <f t="shared" si="43"/>
        <v>23.88888888888889</v>
      </c>
      <c r="AQ46" s="41">
        <f t="shared" si="44"/>
        <v>2.185185185185185</v>
      </c>
      <c r="AR46" s="41">
        <f t="shared" si="45"/>
        <v>0</v>
      </c>
      <c r="AS46" s="41">
        <f t="shared" si="46"/>
        <v>0</v>
      </c>
      <c r="AT46" s="41">
        <f t="shared" si="47"/>
        <v>7.703703703703704</v>
      </c>
      <c r="AU46" s="41">
        <f t="shared" si="48"/>
        <v>66.22222222222223</v>
      </c>
      <c r="AV46" s="41">
        <f t="shared" si="49"/>
        <v>0</v>
      </c>
      <c r="AW46" s="41">
        <f t="shared" si="50"/>
        <v>100</v>
      </c>
      <c r="AX46" s="41">
        <f t="shared" si="51"/>
        <v>0.4444444444444444</v>
      </c>
      <c r="AY46" s="41">
        <f t="shared" si="52"/>
        <v>3.5555555555555554</v>
      </c>
      <c r="AZ46" s="41">
        <f t="shared" si="53"/>
        <v>56.99999999999999</v>
      </c>
      <c r="BA46" s="41">
        <f t="shared" si="54"/>
        <v>0</v>
      </c>
      <c r="BB46" s="41">
        <f t="shared" si="55"/>
        <v>0</v>
      </c>
      <c r="BC46" s="41">
        <f t="shared" si="56"/>
        <v>1.6666666666666667</v>
      </c>
      <c r="BD46" s="41">
        <f t="shared" si="57"/>
        <v>37.333333333333336</v>
      </c>
      <c r="BE46" s="24">
        <f t="shared" si="58"/>
        <v>100</v>
      </c>
      <c r="BG46" t="s">
        <v>120</v>
      </c>
      <c r="BH46" t="s">
        <v>137</v>
      </c>
      <c r="BI46" t="s">
        <v>138</v>
      </c>
      <c r="BJ46" s="25">
        <f t="shared" si="59"/>
        <v>17075</v>
      </c>
      <c r="BK46" s="25">
        <f t="shared" si="60"/>
        <v>2700</v>
      </c>
      <c r="BL46" s="24">
        <f t="shared" si="61"/>
        <v>48.777777777777786</v>
      </c>
      <c r="BM46" s="24">
        <f t="shared" si="62"/>
        <v>76.11111111111111</v>
      </c>
      <c r="BN46" s="24">
        <f t="shared" si="63"/>
        <v>37.333333333333336</v>
      </c>
    </row>
    <row r="47" spans="2:66" ht="15">
      <c r="B47" s="32" t="s">
        <v>92</v>
      </c>
      <c r="C47" s="32" t="s">
        <v>120</v>
      </c>
      <c r="D47" s="33" t="s">
        <v>137</v>
      </c>
      <c r="E47" s="33" t="s">
        <v>139</v>
      </c>
      <c r="F47" s="34">
        <v>4528</v>
      </c>
      <c r="G47" s="34">
        <v>962</v>
      </c>
      <c r="H47" s="34">
        <v>762</v>
      </c>
      <c r="I47" s="34">
        <v>59</v>
      </c>
      <c r="J47" s="34">
        <v>142</v>
      </c>
      <c r="K47" s="34">
        <v>0</v>
      </c>
      <c r="L47" s="34">
        <v>0</v>
      </c>
      <c r="M47" s="35">
        <f t="shared" si="33"/>
        <v>963</v>
      </c>
      <c r="N47" s="34">
        <v>254</v>
      </c>
      <c r="O47" s="34">
        <v>52</v>
      </c>
      <c r="P47" s="34">
        <v>151</v>
      </c>
      <c r="Q47" s="34">
        <v>0</v>
      </c>
      <c r="R47" s="34">
        <v>302</v>
      </c>
      <c r="S47" s="36">
        <f>205-1</f>
        <v>204</v>
      </c>
      <c r="T47" s="34">
        <v>0</v>
      </c>
      <c r="U47" s="35">
        <f t="shared" si="34"/>
        <v>963</v>
      </c>
      <c r="V47" s="35">
        <v>11</v>
      </c>
      <c r="W47" s="35">
        <v>88</v>
      </c>
      <c r="X47" s="35">
        <v>542</v>
      </c>
      <c r="Y47" s="35">
        <v>6</v>
      </c>
      <c r="Z47" s="35">
        <v>13</v>
      </c>
      <c r="AA47" s="35">
        <v>13</v>
      </c>
      <c r="AB47" s="44">
        <f>291-1</f>
        <v>290</v>
      </c>
      <c r="AC47" s="35">
        <f t="shared" si="35"/>
        <v>963</v>
      </c>
      <c r="AD47" s="42"/>
      <c r="AF47" t="s">
        <v>120</v>
      </c>
      <c r="AG47" s="37" t="s">
        <v>137</v>
      </c>
      <c r="AH47" s="38" t="s">
        <v>139</v>
      </c>
      <c r="AI47" s="40">
        <f t="shared" si="36"/>
        <v>962</v>
      </c>
      <c r="AJ47" s="41">
        <f t="shared" si="37"/>
        <v>79.12772585669782</v>
      </c>
      <c r="AK47" s="41">
        <f t="shared" si="38"/>
        <v>6.12668743509865</v>
      </c>
      <c r="AL47" s="41">
        <f t="shared" si="39"/>
        <v>14.74558670820353</v>
      </c>
      <c r="AM47" s="41">
        <f t="shared" si="40"/>
        <v>0</v>
      </c>
      <c r="AN47" s="41">
        <f t="shared" si="41"/>
        <v>0</v>
      </c>
      <c r="AO47" s="41">
        <f t="shared" si="42"/>
        <v>100</v>
      </c>
      <c r="AP47" s="41">
        <f t="shared" si="43"/>
        <v>26.375908618899274</v>
      </c>
      <c r="AQ47" s="41">
        <f t="shared" si="44"/>
        <v>5.399792315680166</v>
      </c>
      <c r="AR47" s="41">
        <f t="shared" si="45"/>
        <v>15.680166147455868</v>
      </c>
      <c r="AS47" s="41">
        <f t="shared" si="46"/>
        <v>0</v>
      </c>
      <c r="AT47" s="41">
        <f t="shared" si="47"/>
        <v>31.360332294911736</v>
      </c>
      <c r="AU47" s="41">
        <f t="shared" si="48"/>
        <v>21.18380062305296</v>
      </c>
      <c r="AV47" s="41">
        <f t="shared" si="49"/>
        <v>0</v>
      </c>
      <c r="AW47" s="41">
        <f t="shared" si="50"/>
        <v>100.00000000000001</v>
      </c>
      <c r="AX47" s="41">
        <f t="shared" si="51"/>
        <v>1.142263759086189</v>
      </c>
      <c r="AY47" s="41">
        <f t="shared" si="52"/>
        <v>9.138110072689512</v>
      </c>
      <c r="AZ47" s="41">
        <f t="shared" si="53"/>
        <v>56.28245067497404</v>
      </c>
      <c r="BA47" s="41">
        <f t="shared" si="54"/>
        <v>0.6230529595015576</v>
      </c>
      <c r="BB47" s="41">
        <f t="shared" si="55"/>
        <v>1.3499480789200415</v>
      </c>
      <c r="BC47" s="41">
        <f t="shared" si="56"/>
        <v>1.3499480789200415</v>
      </c>
      <c r="BD47" s="41">
        <f t="shared" si="57"/>
        <v>30.114226375908622</v>
      </c>
      <c r="BE47" s="24">
        <f t="shared" si="58"/>
        <v>100</v>
      </c>
      <c r="BG47" t="s">
        <v>120</v>
      </c>
      <c r="BH47" t="s">
        <v>137</v>
      </c>
      <c r="BI47" t="s">
        <v>139</v>
      </c>
      <c r="BJ47" s="25">
        <f t="shared" si="59"/>
        <v>4528</v>
      </c>
      <c r="BK47" s="25">
        <f t="shared" si="60"/>
        <v>962</v>
      </c>
      <c r="BL47" s="24">
        <f t="shared" si="61"/>
        <v>20.87227414330218</v>
      </c>
      <c r="BM47" s="24">
        <f t="shared" si="62"/>
        <v>73.62409138110073</v>
      </c>
      <c r="BN47" s="24">
        <f t="shared" si="63"/>
        <v>30.114226375908622</v>
      </c>
    </row>
    <row r="48" spans="2:66" ht="15">
      <c r="B48" s="32" t="s">
        <v>92</v>
      </c>
      <c r="C48" s="32" t="s">
        <v>120</v>
      </c>
      <c r="D48" s="33" t="s">
        <v>108</v>
      </c>
      <c r="E48" s="33" t="s">
        <v>140</v>
      </c>
      <c r="F48" s="34">
        <v>2115</v>
      </c>
      <c r="G48" s="34">
        <v>427</v>
      </c>
      <c r="H48" s="34">
        <v>162</v>
      </c>
      <c r="I48" s="34">
        <v>6</v>
      </c>
      <c r="J48" s="34">
        <v>161</v>
      </c>
      <c r="K48" s="34">
        <v>50</v>
      </c>
      <c r="L48" s="34">
        <v>49</v>
      </c>
      <c r="M48" s="35">
        <f t="shared" si="33"/>
        <v>428</v>
      </c>
      <c r="N48" s="34">
        <v>90</v>
      </c>
      <c r="O48" s="34">
        <v>27</v>
      </c>
      <c r="P48" s="34">
        <v>8</v>
      </c>
      <c r="Q48" s="34">
        <v>0</v>
      </c>
      <c r="R48" s="34">
        <v>42</v>
      </c>
      <c r="S48" s="34">
        <v>260</v>
      </c>
      <c r="T48" s="36">
        <v>1</v>
      </c>
      <c r="U48" s="35">
        <f t="shared" si="34"/>
        <v>428</v>
      </c>
      <c r="V48" s="35">
        <v>11</v>
      </c>
      <c r="W48" s="35">
        <v>27</v>
      </c>
      <c r="X48" s="35">
        <v>311</v>
      </c>
      <c r="Y48" s="35">
        <v>1</v>
      </c>
      <c r="Z48" s="35">
        <v>0</v>
      </c>
      <c r="AA48" s="35">
        <v>15</v>
      </c>
      <c r="AB48" s="44">
        <f>61+2</f>
        <v>63</v>
      </c>
      <c r="AC48" s="35">
        <f t="shared" si="35"/>
        <v>428</v>
      </c>
      <c r="AD48" s="42"/>
      <c r="AF48" t="s">
        <v>120</v>
      </c>
      <c r="AG48" s="37" t="s">
        <v>108</v>
      </c>
      <c r="AH48" s="38" t="s">
        <v>140</v>
      </c>
      <c r="AI48" s="40">
        <f t="shared" si="36"/>
        <v>427</v>
      </c>
      <c r="AJ48" s="41">
        <f t="shared" si="37"/>
        <v>37.850467289719624</v>
      </c>
      <c r="AK48" s="41">
        <f t="shared" si="38"/>
        <v>1.4018691588785046</v>
      </c>
      <c r="AL48" s="41">
        <f t="shared" si="39"/>
        <v>37.61682242990654</v>
      </c>
      <c r="AM48" s="41">
        <f t="shared" si="40"/>
        <v>11.682242990654206</v>
      </c>
      <c r="AN48" s="41">
        <f t="shared" si="41"/>
        <v>11.448598130841122</v>
      </c>
      <c r="AO48" s="41">
        <f t="shared" si="42"/>
        <v>99.99999999999999</v>
      </c>
      <c r="AP48" s="41">
        <f t="shared" si="43"/>
        <v>21.02803738317757</v>
      </c>
      <c r="AQ48" s="41">
        <f t="shared" si="44"/>
        <v>6.308411214953271</v>
      </c>
      <c r="AR48" s="41">
        <f t="shared" si="45"/>
        <v>1.8691588785046727</v>
      </c>
      <c r="AS48" s="41">
        <f t="shared" si="46"/>
        <v>0</v>
      </c>
      <c r="AT48" s="41">
        <f t="shared" si="47"/>
        <v>9.813084112149532</v>
      </c>
      <c r="AU48" s="41">
        <f t="shared" si="48"/>
        <v>60.747663551401864</v>
      </c>
      <c r="AV48" s="41">
        <f t="shared" si="49"/>
        <v>0.23364485981308408</v>
      </c>
      <c r="AW48" s="41">
        <f t="shared" si="50"/>
        <v>99.99999999999999</v>
      </c>
      <c r="AX48" s="41">
        <f t="shared" si="51"/>
        <v>2.570093457943925</v>
      </c>
      <c r="AY48" s="41">
        <f t="shared" si="52"/>
        <v>6.308411214953271</v>
      </c>
      <c r="AZ48" s="41">
        <f t="shared" si="53"/>
        <v>72.66355140186917</v>
      </c>
      <c r="BA48" s="41">
        <f t="shared" si="54"/>
        <v>0.23364485981308408</v>
      </c>
      <c r="BB48" s="41">
        <f t="shared" si="55"/>
        <v>0</v>
      </c>
      <c r="BC48" s="41">
        <f t="shared" si="56"/>
        <v>3.5046728971962615</v>
      </c>
      <c r="BD48" s="41">
        <f t="shared" si="57"/>
        <v>14.719626168224298</v>
      </c>
      <c r="BE48" s="24">
        <f t="shared" si="58"/>
        <v>100</v>
      </c>
      <c r="BG48" t="s">
        <v>120</v>
      </c>
      <c r="BH48" t="s">
        <v>108</v>
      </c>
      <c r="BI48" t="s">
        <v>140</v>
      </c>
      <c r="BJ48" s="25">
        <f t="shared" si="59"/>
        <v>2115</v>
      </c>
      <c r="BK48" s="25">
        <f t="shared" si="60"/>
        <v>427</v>
      </c>
      <c r="BL48" s="24">
        <f t="shared" si="61"/>
        <v>62.14953271028037</v>
      </c>
      <c r="BM48" s="24">
        <f t="shared" si="62"/>
        <v>78.97196261682242</v>
      </c>
      <c r="BN48" s="24">
        <f t="shared" si="63"/>
        <v>14.719626168224298</v>
      </c>
    </row>
    <row r="49" spans="2:66" ht="15">
      <c r="B49" s="32" t="s">
        <v>92</v>
      </c>
      <c r="C49" s="32" t="s">
        <v>120</v>
      </c>
      <c r="D49" s="33" t="s">
        <v>108</v>
      </c>
      <c r="E49" s="33" t="s">
        <v>141</v>
      </c>
      <c r="F49" s="34">
        <v>10484</v>
      </c>
      <c r="G49" s="34">
        <v>2044</v>
      </c>
      <c r="H49" s="34">
        <v>788</v>
      </c>
      <c r="I49" s="34">
        <v>22</v>
      </c>
      <c r="J49" s="34">
        <v>1128</v>
      </c>
      <c r="K49" s="34">
        <v>55</v>
      </c>
      <c r="L49" s="34">
        <v>53</v>
      </c>
      <c r="M49" s="35">
        <f t="shared" si="33"/>
        <v>2046</v>
      </c>
      <c r="N49" s="34">
        <v>747</v>
      </c>
      <c r="O49" s="34">
        <v>70</v>
      </c>
      <c r="P49" s="34">
        <v>71</v>
      </c>
      <c r="Q49" s="34">
        <v>11</v>
      </c>
      <c r="R49" s="34">
        <v>278</v>
      </c>
      <c r="S49" s="34">
        <v>869</v>
      </c>
      <c r="T49" s="34">
        <v>0</v>
      </c>
      <c r="U49" s="35">
        <f t="shared" si="34"/>
        <v>2046</v>
      </c>
      <c r="V49" s="35">
        <v>106</v>
      </c>
      <c r="W49" s="35">
        <v>89</v>
      </c>
      <c r="X49" s="35">
        <v>1092</v>
      </c>
      <c r="Y49" s="35">
        <v>32</v>
      </c>
      <c r="Z49" s="35">
        <v>0</v>
      </c>
      <c r="AA49" s="35">
        <v>117</v>
      </c>
      <c r="AB49" s="44">
        <f>609+1</f>
        <v>610</v>
      </c>
      <c r="AC49" s="35">
        <f t="shared" si="35"/>
        <v>2046</v>
      </c>
      <c r="AD49" s="42"/>
      <c r="AF49" t="s">
        <v>120</v>
      </c>
      <c r="AG49" s="37" t="s">
        <v>108</v>
      </c>
      <c r="AH49" s="38" t="s">
        <v>141</v>
      </c>
      <c r="AI49" s="40">
        <f t="shared" si="36"/>
        <v>2044</v>
      </c>
      <c r="AJ49" s="41">
        <f t="shared" si="37"/>
        <v>38.51417399804497</v>
      </c>
      <c r="AK49" s="41">
        <f t="shared" si="38"/>
        <v>1.0752688172043012</v>
      </c>
      <c r="AL49" s="41">
        <f t="shared" si="39"/>
        <v>55.13196480938416</v>
      </c>
      <c r="AM49" s="41">
        <f t="shared" si="40"/>
        <v>2.6881720430107525</v>
      </c>
      <c r="AN49" s="41">
        <f t="shared" si="41"/>
        <v>2.590420332355816</v>
      </c>
      <c r="AO49" s="41">
        <f t="shared" si="42"/>
        <v>100</v>
      </c>
      <c r="AP49" s="41">
        <f t="shared" si="43"/>
        <v>36.510263929618766</v>
      </c>
      <c r="AQ49" s="41">
        <f t="shared" si="44"/>
        <v>3.4213098729227758</v>
      </c>
      <c r="AR49" s="41">
        <f t="shared" si="45"/>
        <v>3.470185728250244</v>
      </c>
      <c r="AS49" s="41">
        <f t="shared" si="46"/>
        <v>0.5376344086021506</v>
      </c>
      <c r="AT49" s="41">
        <f t="shared" si="47"/>
        <v>13.587487781036167</v>
      </c>
      <c r="AU49" s="41">
        <f t="shared" si="48"/>
        <v>42.473118279569896</v>
      </c>
      <c r="AV49" s="41">
        <f t="shared" si="49"/>
        <v>0</v>
      </c>
      <c r="AW49" s="41">
        <f t="shared" si="50"/>
        <v>100</v>
      </c>
      <c r="AX49" s="41">
        <f t="shared" si="51"/>
        <v>5.180840664711632</v>
      </c>
      <c r="AY49" s="41">
        <f t="shared" si="52"/>
        <v>4.349951124144673</v>
      </c>
      <c r="AZ49" s="41">
        <f t="shared" si="53"/>
        <v>53.3724340175953</v>
      </c>
      <c r="BA49" s="41">
        <f t="shared" si="54"/>
        <v>1.5640273704789833</v>
      </c>
      <c r="BB49" s="41">
        <f t="shared" si="55"/>
        <v>0</v>
      </c>
      <c r="BC49" s="41">
        <f t="shared" si="56"/>
        <v>5.718475073313782</v>
      </c>
      <c r="BD49" s="41">
        <f t="shared" si="57"/>
        <v>29.814271749755623</v>
      </c>
      <c r="BE49" s="24">
        <f t="shared" si="58"/>
        <v>100</v>
      </c>
      <c r="BG49" t="s">
        <v>120</v>
      </c>
      <c r="BH49" t="s">
        <v>108</v>
      </c>
      <c r="BI49" t="s">
        <v>141</v>
      </c>
      <c r="BJ49" s="25">
        <f t="shared" si="59"/>
        <v>10484</v>
      </c>
      <c r="BK49" s="25">
        <f t="shared" si="60"/>
        <v>2044</v>
      </c>
      <c r="BL49" s="24">
        <f t="shared" si="61"/>
        <v>61.48582600195503</v>
      </c>
      <c r="BM49" s="24">
        <f t="shared" si="62"/>
        <v>63.489736070381234</v>
      </c>
      <c r="BN49" s="24">
        <f t="shared" si="63"/>
        <v>29.814271749755623</v>
      </c>
    </row>
    <row r="50" spans="2:66" ht="15">
      <c r="B50" s="32" t="s">
        <v>92</v>
      </c>
      <c r="C50" s="32" t="s">
        <v>120</v>
      </c>
      <c r="D50" s="33" t="s">
        <v>108</v>
      </c>
      <c r="E50" s="33" t="s">
        <v>142</v>
      </c>
      <c r="F50" s="34">
        <v>9014</v>
      </c>
      <c r="G50" s="34">
        <v>1715</v>
      </c>
      <c r="H50" s="34">
        <v>879</v>
      </c>
      <c r="I50" s="34">
        <v>70</v>
      </c>
      <c r="J50" s="34">
        <v>685</v>
      </c>
      <c r="K50" s="34">
        <v>9</v>
      </c>
      <c r="L50" s="34">
        <v>72</v>
      </c>
      <c r="M50" s="35">
        <f t="shared" si="33"/>
        <v>1715</v>
      </c>
      <c r="N50" s="34">
        <v>752</v>
      </c>
      <c r="O50" s="34">
        <v>202</v>
      </c>
      <c r="P50" s="34">
        <v>44</v>
      </c>
      <c r="Q50" s="34">
        <v>18</v>
      </c>
      <c r="R50" s="34">
        <v>72</v>
      </c>
      <c r="S50" s="36">
        <f>628-1</f>
        <v>627</v>
      </c>
      <c r="T50" s="34">
        <v>0</v>
      </c>
      <c r="U50" s="35">
        <f t="shared" si="34"/>
        <v>1715</v>
      </c>
      <c r="V50" s="35">
        <v>34</v>
      </c>
      <c r="W50" s="35">
        <v>187</v>
      </c>
      <c r="X50" s="35">
        <v>881</v>
      </c>
      <c r="Y50" s="35">
        <v>0</v>
      </c>
      <c r="Z50" s="35">
        <v>9</v>
      </c>
      <c r="AA50" s="35">
        <v>70</v>
      </c>
      <c r="AB50" s="35">
        <v>534</v>
      </c>
      <c r="AC50" s="35">
        <f t="shared" si="35"/>
        <v>1715</v>
      </c>
      <c r="AD50" s="42"/>
      <c r="AF50" t="s">
        <v>120</v>
      </c>
      <c r="AG50" s="37" t="s">
        <v>108</v>
      </c>
      <c r="AH50" s="38" t="s">
        <v>142</v>
      </c>
      <c r="AI50" s="40">
        <f t="shared" si="36"/>
        <v>1715</v>
      </c>
      <c r="AJ50" s="41">
        <f t="shared" si="37"/>
        <v>51.25364431486881</v>
      </c>
      <c r="AK50" s="41">
        <f t="shared" si="38"/>
        <v>4.081632653061225</v>
      </c>
      <c r="AL50" s="41">
        <f t="shared" si="39"/>
        <v>39.94169096209912</v>
      </c>
      <c r="AM50" s="41">
        <f t="shared" si="40"/>
        <v>0.5247813411078718</v>
      </c>
      <c r="AN50" s="41">
        <f t="shared" si="41"/>
        <v>4.198250728862974</v>
      </c>
      <c r="AO50" s="41">
        <f t="shared" si="42"/>
        <v>100</v>
      </c>
      <c r="AP50" s="41">
        <f t="shared" si="43"/>
        <v>43.84839650145773</v>
      </c>
      <c r="AQ50" s="41">
        <f t="shared" si="44"/>
        <v>11.778425655976676</v>
      </c>
      <c r="AR50" s="41">
        <f t="shared" si="45"/>
        <v>2.565597667638484</v>
      </c>
      <c r="AS50" s="41">
        <f t="shared" si="46"/>
        <v>1.0495626822157436</v>
      </c>
      <c r="AT50" s="41">
        <f t="shared" si="47"/>
        <v>4.198250728862974</v>
      </c>
      <c r="AU50" s="41">
        <f t="shared" si="48"/>
        <v>36.559766763848394</v>
      </c>
      <c r="AV50" s="41">
        <f t="shared" si="49"/>
        <v>0</v>
      </c>
      <c r="AW50" s="41">
        <f t="shared" si="50"/>
        <v>100</v>
      </c>
      <c r="AX50" s="41">
        <f t="shared" si="51"/>
        <v>1.9825072886297375</v>
      </c>
      <c r="AY50" s="41">
        <f t="shared" si="52"/>
        <v>10.903790087463557</v>
      </c>
      <c r="AZ50" s="41">
        <f t="shared" si="53"/>
        <v>51.370262390670554</v>
      </c>
      <c r="BA50" s="41">
        <f t="shared" si="54"/>
        <v>0</v>
      </c>
      <c r="BB50" s="41">
        <f t="shared" si="55"/>
        <v>0.5247813411078718</v>
      </c>
      <c r="BC50" s="41">
        <f t="shared" si="56"/>
        <v>4.081632653061225</v>
      </c>
      <c r="BD50" s="41">
        <f t="shared" si="57"/>
        <v>31.137026239067055</v>
      </c>
      <c r="BE50" s="24">
        <f t="shared" si="58"/>
        <v>99.99999999999999</v>
      </c>
      <c r="BG50" t="s">
        <v>120</v>
      </c>
      <c r="BH50" t="s">
        <v>108</v>
      </c>
      <c r="BI50" t="s">
        <v>142</v>
      </c>
      <c r="BJ50" s="25">
        <f t="shared" si="59"/>
        <v>9014</v>
      </c>
      <c r="BK50" s="25">
        <f t="shared" si="60"/>
        <v>1715</v>
      </c>
      <c r="BL50" s="24">
        <f t="shared" si="61"/>
        <v>48.7463556851312</v>
      </c>
      <c r="BM50" s="24">
        <f t="shared" si="62"/>
        <v>56.15160349854227</v>
      </c>
      <c r="BN50" s="24">
        <f t="shared" si="63"/>
        <v>31.137026239067055</v>
      </c>
    </row>
    <row r="51" spans="2:66" ht="15">
      <c r="B51" s="32" t="s">
        <v>92</v>
      </c>
      <c r="C51" s="32" t="s">
        <v>120</v>
      </c>
      <c r="D51" s="33" t="s">
        <v>108</v>
      </c>
      <c r="E51" s="33" t="s">
        <v>143</v>
      </c>
      <c r="F51" s="34">
        <v>17384</v>
      </c>
      <c r="G51" s="34">
        <v>3129</v>
      </c>
      <c r="H51" s="34">
        <v>1425</v>
      </c>
      <c r="I51" s="34">
        <v>40</v>
      </c>
      <c r="J51" s="34">
        <v>1450</v>
      </c>
      <c r="K51" s="34">
        <v>13</v>
      </c>
      <c r="L51" s="34">
        <v>201</v>
      </c>
      <c r="M51" s="35">
        <f t="shared" si="33"/>
        <v>3129</v>
      </c>
      <c r="N51" s="34">
        <v>1067</v>
      </c>
      <c r="O51" s="34">
        <v>99</v>
      </c>
      <c r="P51" s="34">
        <v>32</v>
      </c>
      <c r="Q51" s="34">
        <v>18</v>
      </c>
      <c r="R51" s="34">
        <v>366</v>
      </c>
      <c r="S51" s="36">
        <f>1548-1</f>
        <v>1547</v>
      </c>
      <c r="T51" s="34">
        <v>0</v>
      </c>
      <c r="U51" s="35">
        <f t="shared" si="34"/>
        <v>3129</v>
      </c>
      <c r="V51" s="35">
        <v>124</v>
      </c>
      <c r="W51" s="35">
        <v>506</v>
      </c>
      <c r="X51" s="35">
        <v>1458</v>
      </c>
      <c r="Y51" s="35">
        <v>0</v>
      </c>
      <c r="Z51" s="35">
        <v>18</v>
      </c>
      <c r="AA51" s="35">
        <v>27</v>
      </c>
      <c r="AB51" s="44">
        <f>995+1</f>
        <v>996</v>
      </c>
      <c r="AC51" s="35">
        <f t="shared" si="35"/>
        <v>3129</v>
      </c>
      <c r="AD51" s="42"/>
      <c r="AF51" t="s">
        <v>120</v>
      </c>
      <c r="AG51" s="37" t="s">
        <v>108</v>
      </c>
      <c r="AH51" s="38" t="s">
        <v>143</v>
      </c>
      <c r="AI51" s="40">
        <f t="shared" si="36"/>
        <v>3129</v>
      </c>
      <c r="AJ51" s="41">
        <f t="shared" si="37"/>
        <v>45.54170661553212</v>
      </c>
      <c r="AK51" s="41">
        <f t="shared" si="38"/>
        <v>1.278363694471077</v>
      </c>
      <c r="AL51" s="41">
        <f t="shared" si="39"/>
        <v>46.340683924576545</v>
      </c>
      <c r="AM51" s="41">
        <f t="shared" si="40"/>
        <v>0.4154682007031001</v>
      </c>
      <c r="AN51" s="41">
        <f t="shared" si="41"/>
        <v>6.423777564717162</v>
      </c>
      <c r="AO51" s="41">
        <f t="shared" si="42"/>
        <v>100</v>
      </c>
      <c r="AP51" s="41">
        <f t="shared" si="43"/>
        <v>34.10035155001598</v>
      </c>
      <c r="AQ51" s="41">
        <f t="shared" si="44"/>
        <v>3.1639501438159154</v>
      </c>
      <c r="AR51" s="41">
        <f t="shared" si="45"/>
        <v>1.0226909555768615</v>
      </c>
      <c r="AS51" s="41">
        <f t="shared" si="46"/>
        <v>0.5752636625119847</v>
      </c>
      <c r="AT51" s="41">
        <f t="shared" si="47"/>
        <v>11.697027804410356</v>
      </c>
      <c r="AU51" s="41">
        <f t="shared" si="48"/>
        <v>49.44071588366891</v>
      </c>
      <c r="AV51" s="41">
        <f t="shared" si="49"/>
        <v>0</v>
      </c>
      <c r="AW51" s="41">
        <f t="shared" si="50"/>
        <v>100</v>
      </c>
      <c r="AX51" s="41">
        <f t="shared" si="51"/>
        <v>3.962927452860339</v>
      </c>
      <c r="AY51" s="41">
        <f t="shared" si="52"/>
        <v>16.171300735059123</v>
      </c>
      <c r="AZ51" s="41">
        <f t="shared" si="53"/>
        <v>46.59635666347076</v>
      </c>
      <c r="BA51" s="41">
        <f t="shared" si="54"/>
        <v>0</v>
      </c>
      <c r="BB51" s="41">
        <f t="shared" si="55"/>
        <v>0.5752636625119847</v>
      </c>
      <c r="BC51" s="41">
        <f t="shared" si="56"/>
        <v>0.862895493767977</v>
      </c>
      <c r="BD51" s="41">
        <f t="shared" si="57"/>
        <v>31.831255992329815</v>
      </c>
      <c r="BE51" s="24">
        <f t="shared" si="58"/>
        <v>100</v>
      </c>
      <c r="BG51" t="s">
        <v>120</v>
      </c>
      <c r="BH51" t="s">
        <v>108</v>
      </c>
      <c r="BI51" t="s">
        <v>143</v>
      </c>
      <c r="BJ51" s="25">
        <f t="shared" si="59"/>
        <v>17384</v>
      </c>
      <c r="BK51" s="25">
        <f t="shared" si="60"/>
        <v>3129</v>
      </c>
      <c r="BL51" s="24">
        <f t="shared" si="61"/>
        <v>54.458293384467886</v>
      </c>
      <c r="BM51" s="24">
        <f t="shared" si="62"/>
        <v>65.89964844998403</v>
      </c>
      <c r="BN51" s="24">
        <f t="shared" si="63"/>
        <v>31.831255992329815</v>
      </c>
    </row>
    <row r="52" spans="2:66" ht="15">
      <c r="B52" s="32" t="s">
        <v>92</v>
      </c>
      <c r="C52" s="32" t="s">
        <v>120</v>
      </c>
      <c r="D52" s="33" t="s">
        <v>108</v>
      </c>
      <c r="E52" s="33" t="s">
        <v>144</v>
      </c>
      <c r="F52" s="34">
        <v>4956</v>
      </c>
      <c r="G52" s="34">
        <v>1029</v>
      </c>
      <c r="H52" s="34">
        <v>790</v>
      </c>
      <c r="I52" s="34">
        <v>36</v>
      </c>
      <c r="J52" s="34">
        <v>191</v>
      </c>
      <c r="K52" s="34">
        <v>11</v>
      </c>
      <c r="L52" s="34">
        <v>0</v>
      </c>
      <c r="M52" s="35">
        <f t="shared" si="33"/>
        <v>1028</v>
      </c>
      <c r="N52" s="34">
        <v>673</v>
      </c>
      <c r="O52" s="34">
        <v>71</v>
      </c>
      <c r="P52" s="34">
        <v>29</v>
      </c>
      <c r="Q52" s="34">
        <v>0</v>
      </c>
      <c r="R52" s="34">
        <v>85</v>
      </c>
      <c r="S52" s="34">
        <v>170</v>
      </c>
      <c r="T52" s="34">
        <v>0</v>
      </c>
      <c r="U52" s="35">
        <f t="shared" si="34"/>
        <v>1028</v>
      </c>
      <c r="V52" s="35">
        <v>92</v>
      </c>
      <c r="W52" s="35">
        <v>175</v>
      </c>
      <c r="X52" s="35">
        <v>505</v>
      </c>
      <c r="Y52" s="35">
        <v>6</v>
      </c>
      <c r="Z52" s="35">
        <v>6</v>
      </c>
      <c r="AA52" s="35">
        <v>36</v>
      </c>
      <c r="AB52" s="44">
        <f>210-2</f>
        <v>208</v>
      </c>
      <c r="AC52" s="35">
        <f t="shared" si="35"/>
        <v>1028</v>
      </c>
      <c r="AD52" s="42"/>
      <c r="AF52" t="s">
        <v>120</v>
      </c>
      <c r="AG52" s="37" t="s">
        <v>108</v>
      </c>
      <c r="AH52" s="38" t="s">
        <v>144</v>
      </c>
      <c r="AI52" s="40">
        <f t="shared" si="36"/>
        <v>1029</v>
      </c>
      <c r="AJ52" s="41">
        <f t="shared" si="37"/>
        <v>76.84824902723736</v>
      </c>
      <c r="AK52" s="41">
        <f t="shared" si="38"/>
        <v>3.501945525291829</v>
      </c>
      <c r="AL52" s="41">
        <f t="shared" si="39"/>
        <v>18.579766536964982</v>
      </c>
      <c r="AM52" s="41">
        <f t="shared" si="40"/>
        <v>1.0700389105058365</v>
      </c>
      <c r="AN52" s="41">
        <f t="shared" si="41"/>
        <v>0</v>
      </c>
      <c r="AO52" s="41">
        <f t="shared" si="42"/>
        <v>100.00000000000001</v>
      </c>
      <c r="AP52" s="41">
        <f t="shared" si="43"/>
        <v>65.46692607003891</v>
      </c>
      <c r="AQ52" s="41">
        <f t="shared" si="44"/>
        <v>6.906614785992218</v>
      </c>
      <c r="AR52" s="41">
        <f t="shared" si="45"/>
        <v>2.821011673151751</v>
      </c>
      <c r="AS52" s="41">
        <f t="shared" si="46"/>
        <v>0</v>
      </c>
      <c r="AT52" s="41">
        <f t="shared" si="47"/>
        <v>8.268482490272373</v>
      </c>
      <c r="AU52" s="41">
        <f t="shared" si="48"/>
        <v>16.536964980544745</v>
      </c>
      <c r="AV52" s="41">
        <f t="shared" si="49"/>
        <v>0</v>
      </c>
      <c r="AW52" s="41">
        <f t="shared" si="50"/>
        <v>100</v>
      </c>
      <c r="AX52" s="41">
        <f t="shared" si="51"/>
        <v>8.949416342412452</v>
      </c>
      <c r="AY52" s="41">
        <f t="shared" si="52"/>
        <v>17.023346303501945</v>
      </c>
      <c r="AZ52" s="41">
        <f t="shared" si="53"/>
        <v>49.12451361867704</v>
      </c>
      <c r="BA52" s="41">
        <f t="shared" si="54"/>
        <v>0.5836575875486382</v>
      </c>
      <c r="BB52" s="41">
        <f t="shared" si="55"/>
        <v>0.5836575875486382</v>
      </c>
      <c r="BC52" s="41">
        <f t="shared" si="56"/>
        <v>3.501945525291829</v>
      </c>
      <c r="BD52" s="41">
        <f t="shared" si="57"/>
        <v>20.233463035019454</v>
      </c>
      <c r="BE52" s="24">
        <f t="shared" si="58"/>
        <v>100.00000000000001</v>
      </c>
      <c r="BG52" t="s">
        <v>120</v>
      </c>
      <c r="BH52" t="s">
        <v>108</v>
      </c>
      <c r="BI52" t="s">
        <v>144</v>
      </c>
      <c r="BJ52" s="25">
        <f t="shared" si="59"/>
        <v>4956</v>
      </c>
      <c r="BK52" s="25">
        <f t="shared" si="60"/>
        <v>1029</v>
      </c>
      <c r="BL52" s="24">
        <f t="shared" si="61"/>
        <v>23.15175097276265</v>
      </c>
      <c r="BM52" s="24">
        <f t="shared" si="62"/>
        <v>34.53307392996109</v>
      </c>
      <c r="BN52" s="24">
        <f t="shared" si="63"/>
        <v>20.233463035019454</v>
      </c>
    </row>
    <row r="53" spans="2:66" ht="14.25">
      <c r="B53" s="32" t="s">
        <v>92</v>
      </c>
      <c r="C53" s="32" t="s">
        <v>120</v>
      </c>
      <c r="D53" s="33" t="s">
        <v>108</v>
      </c>
      <c r="E53" s="33" t="s">
        <v>145</v>
      </c>
      <c r="F53" s="34">
        <v>1286</v>
      </c>
      <c r="G53" s="34">
        <v>257</v>
      </c>
      <c r="H53" s="34">
        <v>136</v>
      </c>
      <c r="I53" s="34">
        <v>4</v>
      </c>
      <c r="J53" s="34">
        <v>111</v>
      </c>
      <c r="K53" s="34">
        <v>4</v>
      </c>
      <c r="L53" s="34">
        <v>0</v>
      </c>
      <c r="M53" s="35">
        <f t="shared" si="33"/>
        <v>255</v>
      </c>
      <c r="N53" s="34">
        <v>151</v>
      </c>
      <c r="O53" s="34">
        <v>16</v>
      </c>
      <c r="P53" s="34">
        <v>29</v>
      </c>
      <c r="Q53" s="34">
        <v>0</v>
      </c>
      <c r="R53" s="34">
        <v>17</v>
      </c>
      <c r="S53" s="34">
        <v>42</v>
      </c>
      <c r="T53" s="34">
        <v>0</v>
      </c>
      <c r="U53" s="35">
        <f t="shared" si="34"/>
        <v>255</v>
      </c>
      <c r="V53" s="35">
        <v>11</v>
      </c>
      <c r="W53" s="35">
        <v>36</v>
      </c>
      <c r="X53" s="35">
        <v>127</v>
      </c>
      <c r="Y53" s="35">
        <v>0</v>
      </c>
      <c r="Z53" s="35">
        <v>3</v>
      </c>
      <c r="AA53" s="35">
        <v>4</v>
      </c>
      <c r="AB53" s="35">
        <v>74</v>
      </c>
      <c r="AC53" s="35">
        <f t="shared" si="35"/>
        <v>255</v>
      </c>
      <c r="AD53" s="42"/>
      <c r="AF53" t="s">
        <v>120</v>
      </c>
      <c r="AG53" s="37" t="s">
        <v>108</v>
      </c>
      <c r="AH53" s="38" t="s">
        <v>145</v>
      </c>
      <c r="AI53" s="40">
        <f t="shared" si="36"/>
        <v>257</v>
      </c>
      <c r="AJ53" s="41">
        <f t="shared" si="37"/>
        <v>53.333333333333336</v>
      </c>
      <c r="AK53" s="41">
        <f t="shared" si="38"/>
        <v>1.5686274509803921</v>
      </c>
      <c r="AL53" s="41">
        <f t="shared" si="39"/>
        <v>43.529411764705884</v>
      </c>
      <c r="AM53" s="41">
        <f t="shared" si="40"/>
        <v>1.5686274509803921</v>
      </c>
      <c r="AN53" s="41">
        <f t="shared" si="41"/>
        <v>0</v>
      </c>
      <c r="AO53" s="41">
        <f t="shared" si="42"/>
        <v>100</v>
      </c>
      <c r="AP53" s="41">
        <f t="shared" si="43"/>
        <v>59.21568627450981</v>
      </c>
      <c r="AQ53" s="41">
        <f t="shared" si="44"/>
        <v>6.2745098039215685</v>
      </c>
      <c r="AR53" s="41">
        <f t="shared" si="45"/>
        <v>11.372549019607844</v>
      </c>
      <c r="AS53" s="41">
        <f t="shared" si="46"/>
        <v>0</v>
      </c>
      <c r="AT53" s="41">
        <f t="shared" si="47"/>
        <v>6.666666666666667</v>
      </c>
      <c r="AU53" s="41">
        <f t="shared" si="48"/>
        <v>16.470588235294116</v>
      </c>
      <c r="AV53" s="41">
        <f t="shared" si="49"/>
        <v>0</v>
      </c>
      <c r="AW53" s="41">
        <f t="shared" si="50"/>
        <v>100.00000000000001</v>
      </c>
      <c r="AX53" s="41">
        <f t="shared" si="51"/>
        <v>4.313725490196078</v>
      </c>
      <c r="AY53" s="41">
        <f t="shared" si="52"/>
        <v>14.117647058823529</v>
      </c>
      <c r="AZ53" s="41">
        <f t="shared" si="53"/>
        <v>49.80392156862745</v>
      </c>
      <c r="BA53" s="41">
        <f t="shared" si="54"/>
        <v>0</v>
      </c>
      <c r="BB53" s="41">
        <f t="shared" si="55"/>
        <v>1.1764705882352942</v>
      </c>
      <c r="BC53" s="41">
        <f t="shared" si="56"/>
        <v>1.5686274509803921</v>
      </c>
      <c r="BD53" s="41">
        <f t="shared" si="57"/>
        <v>29.01960784313726</v>
      </c>
      <c r="BE53" s="24">
        <f t="shared" si="58"/>
        <v>100</v>
      </c>
      <c r="BG53" t="s">
        <v>120</v>
      </c>
      <c r="BH53" t="s">
        <v>108</v>
      </c>
      <c r="BI53" t="s">
        <v>145</v>
      </c>
      <c r="BJ53" s="25">
        <f t="shared" si="59"/>
        <v>1286</v>
      </c>
      <c r="BK53" s="25">
        <f t="shared" si="60"/>
        <v>257</v>
      </c>
      <c r="BL53" s="24">
        <f t="shared" si="61"/>
        <v>46.66666666666667</v>
      </c>
      <c r="BM53" s="24">
        <f t="shared" si="62"/>
        <v>40.78431372549019</v>
      </c>
      <c r="BN53" s="24">
        <f t="shared" si="63"/>
        <v>29.01960784313726</v>
      </c>
    </row>
    <row r="54" spans="2:66" ht="15">
      <c r="B54" s="32" t="s">
        <v>92</v>
      </c>
      <c r="C54" s="32" t="s">
        <v>120</v>
      </c>
      <c r="D54" s="33" t="s">
        <v>108</v>
      </c>
      <c r="E54" s="33" t="s">
        <v>146</v>
      </c>
      <c r="F54" s="34">
        <v>4837</v>
      </c>
      <c r="G54" s="34">
        <v>1020</v>
      </c>
      <c r="H54" s="34">
        <v>646</v>
      </c>
      <c r="I54" s="34">
        <v>100</v>
      </c>
      <c r="J54" s="34">
        <v>266</v>
      </c>
      <c r="K54" s="34">
        <v>7</v>
      </c>
      <c r="L54" s="34">
        <v>0</v>
      </c>
      <c r="M54" s="35">
        <f t="shared" si="33"/>
        <v>1019</v>
      </c>
      <c r="N54" s="34">
        <v>312</v>
      </c>
      <c r="O54" s="34">
        <v>111</v>
      </c>
      <c r="P54" s="34">
        <v>42</v>
      </c>
      <c r="Q54" s="34">
        <v>0</v>
      </c>
      <c r="R54" s="34">
        <v>193</v>
      </c>
      <c r="S54" s="34">
        <v>359</v>
      </c>
      <c r="T54" s="34">
        <v>2</v>
      </c>
      <c r="U54" s="35">
        <f t="shared" si="34"/>
        <v>1019</v>
      </c>
      <c r="V54" s="35">
        <v>21</v>
      </c>
      <c r="W54" s="35">
        <v>32</v>
      </c>
      <c r="X54" s="35">
        <v>556</v>
      </c>
      <c r="Y54" s="35">
        <v>0</v>
      </c>
      <c r="Z54" s="35">
        <v>7</v>
      </c>
      <c r="AA54" s="35">
        <v>35</v>
      </c>
      <c r="AB54" s="44">
        <f>367+1</f>
        <v>368</v>
      </c>
      <c r="AC54" s="35">
        <f t="shared" si="35"/>
        <v>1019</v>
      </c>
      <c r="AD54" s="42"/>
      <c r="AF54" t="s">
        <v>120</v>
      </c>
      <c r="AG54" s="37" t="s">
        <v>108</v>
      </c>
      <c r="AH54" s="38" t="s">
        <v>146</v>
      </c>
      <c r="AI54" s="40">
        <f t="shared" si="36"/>
        <v>1020</v>
      </c>
      <c r="AJ54" s="41">
        <f t="shared" si="37"/>
        <v>63.3954857703631</v>
      </c>
      <c r="AK54" s="41">
        <f t="shared" si="38"/>
        <v>9.813542688910697</v>
      </c>
      <c r="AL54" s="41">
        <f t="shared" si="39"/>
        <v>26.104023552502454</v>
      </c>
      <c r="AM54" s="41">
        <f t="shared" si="40"/>
        <v>0.6869479882237487</v>
      </c>
      <c r="AN54" s="41">
        <f t="shared" si="41"/>
        <v>0</v>
      </c>
      <c r="AO54" s="41">
        <f t="shared" si="42"/>
        <v>100</v>
      </c>
      <c r="AP54" s="41">
        <f t="shared" si="43"/>
        <v>30.618253189401372</v>
      </c>
      <c r="AQ54" s="41">
        <f t="shared" si="44"/>
        <v>10.893032384690873</v>
      </c>
      <c r="AR54" s="41">
        <f t="shared" si="45"/>
        <v>4.121687929342492</v>
      </c>
      <c r="AS54" s="41">
        <f t="shared" si="46"/>
        <v>0</v>
      </c>
      <c r="AT54" s="41">
        <f t="shared" si="47"/>
        <v>18.940137389597645</v>
      </c>
      <c r="AU54" s="41">
        <f t="shared" si="48"/>
        <v>35.2306182531894</v>
      </c>
      <c r="AV54" s="41">
        <f t="shared" si="49"/>
        <v>0.19627085377821393</v>
      </c>
      <c r="AW54" s="41">
        <f t="shared" si="50"/>
        <v>99.99999999999999</v>
      </c>
      <c r="AX54" s="41">
        <f t="shared" si="51"/>
        <v>2.060843964671246</v>
      </c>
      <c r="AY54" s="41">
        <f t="shared" si="52"/>
        <v>3.140333660451423</v>
      </c>
      <c r="AZ54" s="41">
        <f t="shared" si="53"/>
        <v>54.563297350343476</v>
      </c>
      <c r="BA54" s="41">
        <f t="shared" si="54"/>
        <v>0</v>
      </c>
      <c r="BB54" s="41">
        <f t="shared" si="55"/>
        <v>0.6869479882237487</v>
      </c>
      <c r="BC54" s="41">
        <f t="shared" si="56"/>
        <v>3.434739941118744</v>
      </c>
      <c r="BD54" s="41">
        <f t="shared" si="57"/>
        <v>36.113837095191364</v>
      </c>
      <c r="BE54" s="24">
        <f t="shared" si="58"/>
        <v>100</v>
      </c>
      <c r="BG54" t="s">
        <v>120</v>
      </c>
      <c r="BH54" t="s">
        <v>108</v>
      </c>
      <c r="BI54" t="s">
        <v>146</v>
      </c>
      <c r="BJ54" s="25">
        <f t="shared" si="59"/>
        <v>4837</v>
      </c>
      <c r="BK54" s="25">
        <f t="shared" si="60"/>
        <v>1020</v>
      </c>
      <c r="BL54" s="24">
        <f t="shared" si="61"/>
        <v>36.604514229636905</v>
      </c>
      <c r="BM54" s="24">
        <f t="shared" si="62"/>
        <v>69.38174681059861</v>
      </c>
      <c r="BN54" s="24">
        <f t="shared" si="63"/>
        <v>36.113837095191364</v>
      </c>
    </row>
    <row r="55" spans="2:66" ht="15">
      <c r="B55" s="32" t="s">
        <v>92</v>
      </c>
      <c r="C55" s="32" t="s">
        <v>120</v>
      </c>
      <c r="D55" s="33" t="s">
        <v>108</v>
      </c>
      <c r="E55" s="33" t="s">
        <v>104</v>
      </c>
      <c r="F55" s="34">
        <v>1029</v>
      </c>
      <c r="G55" s="34">
        <v>373</v>
      </c>
      <c r="H55" s="34">
        <v>103</v>
      </c>
      <c r="I55" s="34">
        <v>11</v>
      </c>
      <c r="J55" s="34">
        <v>163</v>
      </c>
      <c r="K55" s="34">
        <v>49</v>
      </c>
      <c r="L55" s="34">
        <v>48</v>
      </c>
      <c r="M55" s="35">
        <f t="shared" si="33"/>
        <v>374</v>
      </c>
      <c r="N55" s="34">
        <v>185</v>
      </c>
      <c r="O55" s="34">
        <v>6</v>
      </c>
      <c r="P55" s="34">
        <v>13</v>
      </c>
      <c r="Q55" s="34">
        <v>0</v>
      </c>
      <c r="R55" s="34">
        <v>43</v>
      </c>
      <c r="S55" s="34">
        <v>127</v>
      </c>
      <c r="T55" s="34">
        <v>0</v>
      </c>
      <c r="U55" s="35">
        <f t="shared" si="34"/>
        <v>374</v>
      </c>
      <c r="V55" s="35">
        <v>15</v>
      </c>
      <c r="W55" s="35">
        <v>40</v>
      </c>
      <c r="X55" s="35">
        <v>220</v>
      </c>
      <c r="Y55" s="35">
        <v>3</v>
      </c>
      <c r="Z55" s="35">
        <v>3</v>
      </c>
      <c r="AA55" s="35">
        <v>34</v>
      </c>
      <c r="AB55" s="44">
        <f>58+1</f>
        <v>59</v>
      </c>
      <c r="AC55" s="35">
        <f t="shared" si="35"/>
        <v>374</v>
      </c>
      <c r="AD55" s="42"/>
      <c r="AF55" t="s">
        <v>120</v>
      </c>
      <c r="AG55" s="37" t="s">
        <v>108</v>
      </c>
      <c r="AH55" s="38" t="s">
        <v>104</v>
      </c>
      <c r="AI55" s="40">
        <f t="shared" si="36"/>
        <v>373</v>
      </c>
      <c r="AJ55" s="41">
        <f t="shared" si="37"/>
        <v>27.540106951871657</v>
      </c>
      <c r="AK55" s="41">
        <f t="shared" si="38"/>
        <v>2.941176470588235</v>
      </c>
      <c r="AL55" s="41">
        <f t="shared" si="39"/>
        <v>43.58288770053476</v>
      </c>
      <c r="AM55" s="41">
        <f t="shared" si="40"/>
        <v>13.101604278074866</v>
      </c>
      <c r="AN55" s="41">
        <f t="shared" si="41"/>
        <v>12.834224598930483</v>
      </c>
      <c r="AO55" s="41">
        <f t="shared" si="42"/>
        <v>100</v>
      </c>
      <c r="AP55" s="41">
        <f t="shared" si="43"/>
        <v>49.465240641711226</v>
      </c>
      <c r="AQ55" s="41">
        <f t="shared" si="44"/>
        <v>1.6042780748663104</v>
      </c>
      <c r="AR55" s="41">
        <f t="shared" si="45"/>
        <v>3.4759358288770055</v>
      </c>
      <c r="AS55" s="41">
        <f t="shared" si="46"/>
        <v>0</v>
      </c>
      <c r="AT55" s="41">
        <f t="shared" si="47"/>
        <v>11.497326203208557</v>
      </c>
      <c r="AU55" s="41">
        <f t="shared" si="48"/>
        <v>33.9572192513369</v>
      </c>
      <c r="AV55" s="41">
        <f t="shared" si="49"/>
        <v>0</v>
      </c>
      <c r="AW55" s="41">
        <f t="shared" si="50"/>
        <v>100</v>
      </c>
      <c r="AX55" s="41">
        <f t="shared" si="51"/>
        <v>4.010695187165775</v>
      </c>
      <c r="AY55" s="41">
        <f t="shared" si="52"/>
        <v>10.695187165775401</v>
      </c>
      <c r="AZ55" s="41">
        <f t="shared" si="53"/>
        <v>58.82352941176471</v>
      </c>
      <c r="BA55" s="41">
        <f t="shared" si="54"/>
        <v>0.8021390374331552</v>
      </c>
      <c r="BB55" s="41">
        <f t="shared" si="55"/>
        <v>0.8021390374331552</v>
      </c>
      <c r="BC55" s="41">
        <f t="shared" si="56"/>
        <v>9.090909090909092</v>
      </c>
      <c r="BD55" s="41">
        <f t="shared" si="57"/>
        <v>15.775401069518717</v>
      </c>
      <c r="BE55" s="24">
        <f t="shared" si="58"/>
        <v>100</v>
      </c>
      <c r="BG55" t="s">
        <v>120</v>
      </c>
      <c r="BH55" t="s">
        <v>108</v>
      </c>
      <c r="BI55" t="s">
        <v>104</v>
      </c>
      <c r="BJ55" s="25">
        <f t="shared" si="59"/>
        <v>1029</v>
      </c>
      <c r="BK55" s="25">
        <f t="shared" si="60"/>
        <v>373</v>
      </c>
      <c r="BL55" s="24">
        <f t="shared" si="61"/>
        <v>72.45989304812835</v>
      </c>
      <c r="BM55" s="24">
        <f t="shared" si="62"/>
        <v>50.534759358288774</v>
      </c>
      <c r="BN55" s="24">
        <f t="shared" si="63"/>
        <v>15.775401069518717</v>
      </c>
    </row>
    <row r="56" spans="2:66" ht="14.25">
      <c r="B56" s="32" t="s">
        <v>92</v>
      </c>
      <c r="C56" s="32" t="s">
        <v>120</v>
      </c>
      <c r="D56" s="33" t="s">
        <v>108</v>
      </c>
      <c r="E56" s="33" t="s">
        <v>147</v>
      </c>
      <c r="F56" s="34">
        <v>3335</v>
      </c>
      <c r="G56" s="34">
        <v>692</v>
      </c>
      <c r="H56" s="34">
        <v>367</v>
      </c>
      <c r="I56" s="34">
        <v>28</v>
      </c>
      <c r="J56" s="34">
        <v>290</v>
      </c>
      <c r="K56" s="34">
        <v>0</v>
      </c>
      <c r="L56" s="34">
        <v>5</v>
      </c>
      <c r="M56" s="35">
        <f t="shared" si="33"/>
        <v>690</v>
      </c>
      <c r="N56" s="34">
        <v>289</v>
      </c>
      <c r="O56" s="34">
        <v>99</v>
      </c>
      <c r="P56" s="34">
        <v>66</v>
      </c>
      <c r="Q56" s="34">
        <v>5</v>
      </c>
      <c r="R56" s="34">
        <v>76</v>
      </c>
      <c r="S56" s="34">
        <v>155</v>
      </c>
      <c r="T56" s="34">
        <v>0</v>
      </c>
      <c r="U56" s="35">
        <f t="shared" si="34"/>
        <v>690</v>
      </c>
      <c r="V56" s="35">
        <v>5</v>
      </c>
      <c r="W56" s="35">
        <v>33</v>
      </c>
      <c r="X56" s="35">
        <v>386</v>
      </c>
      <c r="Y56" s="35">
        <v>0</v>
      </c>
      <c r="Z56" s="35">
        <v>5</v>
      </c>
      <c r="AA56" s="35">
        <v>56</v>
      </c>
      <c r="AB56" s="35">
        <f>206-1</f>
        <v>205</v>
      </c>
      <c r="AC56" s="35">
        <f t="shared" si="35"/>
        <v>690</v>
      </c>
      <c r="AD56" s="42"/>
      <c r="AF56" t="s">
        <v>120</v>
      </c>
      <c r="AG56" s="37" t="s">
        <v>108</v>
      </c>
      <c r="AH56" s="38" t="s">
        <v>147</v>
      </c>
      <c r="AI56" s="40">
        <f t="shared" si="36"/>
        <v>692</v>
      </c>
      <c r="AJ56" s="41">
        <f t="shared" si="37"/>
        <v>53.188405797101446</v>
      </c>
      <c r="AK56" s="41">
        <f t="shared" si="38"/>
        <v>4.057971014492753</v>
      </c>
      <c r="AL56" s="41">
        <f t="shared" si="39"/>
        <v>42.028985507246375</v>
      </c>
      <c r="AM56" s="41">
        <f t="shared" si="40"/>
        <v>0</v>
      </c>
      <c r="AN56" s="41">
        <f t="shared" si="41"/>
        <v>0.7246376811594203</v>
      </c>
      <c r="AO56" s="41">
        <f t="shared" si="42"/>
        <v>99.99999999999999</v>
      </c>
      <c r="AP56" s="41">
        <f t="shared" si="43"/>
        <v>41.88405797101449</v>
      </c>
      <c r="AQ56" s="41">
        <f t="shared" si="44"/>
        <v>14.347826086956522</v>
      </c>
      <c r="AR56" s="41">
        <f t="shared" si="45"/>
        <v>9.565217391304348</v>
      </c>
      <c r="AS56" s="41">
        <f t="shared" si="46"/>
        <v>0.7246376811594203</v>
      </c>
      <c r="AT56" s="41">
        <f t="shared" si="47"/>
        <v>11.014492753623188</v>
      </c>
      <c r="AU56" s="41">
        <f t="shared" si="48"/>
        <v>22.463768115942027</v>
      </c>
      <c r="AV56" s="41">
        <f t="shared" si="49"/>
        <v>0</v>
      </c>
      <c r="AW56" s="41">
        <f t="shared" si="50"/>
        <v>100</v>
      </c>
      <c r="AX56" s="41">
        <f t="shared" si="51"/>
        <v>0.7246376811594203</v>
      </c>
      <c r="AY56" s="41">
        <f t="shared" si="52"/>
        <v>4.782608695652174</v>
      </c>
      <c r="AZ56" s="41">
        <f t="shared" si="53"/>
        <v>55.94202898550724</v>
      </c>
      <c r="BA56" s="41">
        <f t="shared" si="54"/>
        <v>0</v>
      </c>
      <c r="BB56" s="41">
        <f t="shared" si="55"/>
        <v>0.7246376811594203</v>
      </c>
      <c r="BC56" s="41">
        <f t="shared" si="56"/>
        <v>8.115942028985506</v>
      </c>
      <c r="BD56" s="41">
        <f t="shared" si="57"/>
        <v>29.71014492753623</v>
      </c>
      <c r="BE56" s="24">
        <f t="shared" si="58"/>
        <v>100</v>
      </c>
      <c r="BG56" t="s">
        <v>120</v>
      </c>
      <c r="BH56" t="s">
        <v>108</v>
      </c>
      <c r="BI56" t="s">
        <v>147</v>
      </c>
      <c r="BJ56" s="25">
        <f t="shared" si="59"/>
        <v>3335</v>
      </c>
      <c r="BK56" s="25">
        <f t="shared" si="60"/>
        <v>692</v>
      </c>
      <c r="BL56" s="24">
        <f t="shared" si="61"/>
        <v>46.81159420289855</v>
      </c>
      <c r="BM56" s="24">
        <f t="shared" si="62"/>
        <v>58.1159420289855</v>
      </c>
      <c r="BN56" s="24">
        <f t="shared" si="63"/>
        <v>29.71014492753623</v>
      </c>
    </row>
    <row r="57" spans="2:66" ht="15">
      <c r="B57" s="32" t="s">
        <v>92</v>
      </c>
      <c r="C57" s="32" t="s">
        <v>120</v>
      </c>
      <c r="D57" s="33" t="s">
        <v>108</v>
      </c>
      <c r="E57" s="33" t="s">
        <v>148</v>
      </c>
      <c r="F57" s="34">
        <v>3852</v>
      </c>
      <c r="G57" s="34">
        <v>807</v>
      </c>
      <c r="H57" s="34">
        <v>388</v>
      </c>
      <c r="I57" s="34">
        <v>13</v>
      </c>
      <c r="J57" s="34">
        <v>353</v>
      </c>
      <c r="K57" s="34">
        <v>8</v>
      </c>
      <c r="L57" s="34">
        <v>44</v>
      </c>
      <c r="M57" s="35">
        <f t="shared" si="33"/>
        <v>806</v>
      </c>
      <c r="N57" s="34">
        <v>288</v>
      </c>
      <c r="O57" s="34">
        <v>50</v>
      </c>
      <c r="P57" s="34">
        <v>26</v>
      </c>
      <c r="Q57" s="34">
        <v>0</v>
      </c>
      <c r="R57" s="34">
        <v>166</v>
      </c>
      <c r="S57" s="34">
        <v>276</v>
      </c>
      <c r="T57" s="34">
        <v>0</v>
      </c>
      <c r="U57" s="35">
        <f t="shared" si="34"/>
        <v>806</v>
      </c>
      <c r="V57" s="35">
        <v>24</v>
      </c>
      <c r="W57" s="35">
        <v>56</v>
      </c>
      <c r="X57" s="35">
        <v>500</v>
      </c>
      <c r="Y57" s="35">
        <v>0</v>
      </c>
      <c r="Z57" s="35">
        <v>4</v>
      </c>
      <c r="AA57" s="35">
        <v>8</v>
      </c>
      <c r="AB57" s="44">
        <f>215-1</f>
        <v>214</v>
      </c>
      <c r="AC57" s="35">
        <f t="shared" si="35"/>
        <v>806</v>
      </c>
      <c r="AD57" s="42"/>
      <c r="AF57" t="s">
        <v>120</v>
      </c>
      <c r="AG57" s="37" t="s">
        <v>108</v>
      </c>
      <c r="AH57" s="38" t="s">
        <v>148</v>
      </c>
      <c r="AI57" s="40">
        <f t="shared" si="36"/>
        <v>807</v>
      </c>
      <c r="AJ57" s="41">
        <f t="shared" si="37"/>
        <v>48.13895781637717</v>
      </c>
      <c r="AK57" s="41">
        <f t="shared" si="38"/>
        <v>1.6129032258064515</v>
      </c>
      <c r="AL57" s="41">
        <f t="shared" si="39"/>
        <v>43.79652605459057</v>
      </c>
      <c r="AM57" s="41">
        <f t="shared" si="40"/>
        <v>0.9925558312655087</v>
      </c>
      <c r="AN57" s="41">
        <f t="shared" si="41"/>
        <v>5.459057071960298</v>
      </c>
      <c r="AO57" s="41">
        <f t="shared" si="42"/>
        <v>100</v>
      </c>
      <c r="AP57" s="41">
        <f t="shared" si="43"/>
        <v>35.73200992555831</v>
      </c>
      <c r="AQ57" s="41">
        <f t="shared" si="44"/>
        <v>6.20347394540943</v>
      </c>
      <c r="AR57" s="41">
        <f t="shared" si="45"/>
        <v>3.225806451612903</v>
      </c>
      <c r="AS57" s="41">
        <f t="shared" si="46"/>
        <v>0</v>
      </c>
      <c r="AT57" s="41">
        <f t="shared" si="47"/>
        <v>20.595533498759306</v>
      </c>
      <c r="AU57" s="41">
        <f t="shared" si="48"/>
        <v>34.24317617866005</v>
      </c>
      <c r="AV57" s="41">
        <f t="shared" si="49"/>
        <v>0</v>
      </c>
      <c r="AW57" s="41">
        <f t="shared" si="50"/>
        <v>100</v>
      </c>
      <c r="AX57" s="41">
        <f t="shared" si="51"/>
        <v>2.977667493796526</v>
      </c>
      <c r="AY57" s="41">
        <f t="shared" si="52"/>
        <v>6.9478908188585615</v>
      </c>
      <c r="AZ57" s="41">
        <f t="shared" si="53"/>
        <v>62.03473945409429</v>
      </c>
      <c r="BA57" s="41">
        <f t="shared" si="54"/>
        <v>0</v>
      </c>
      <c r="BB57" s="41">
        <f t="shared" si="55"/>
        <v>0.49627791563275436</v>
      </c>
      <c r="BC57" s="41">
        <f t="shared" si="56"/>
        <v>0.9925558312655087</v>
      </c>
      <c r="BD57" s="41">
        <f t="shared" si="57"/>
        <v>26.550868486352357</v>
      </c>
      <c r="BE57" s="24">
        <f t="shared" si="58"/>
        <v>100</v>
      </c>
      <c r="BG57" t="s">
        <v>120</v>
      </c>
      <c r="BH57" t="s">
        <v>108</v>
      </c>
      <c r="BI57" t="s">
        <v>148</v>
      </c>
      <c r="BJ57" s="25">
        <f t="shared" si="59"/>
        <v>3852</v>
      </c>
      <c r="BK57" s="25">
        <f t="shared" si="60"/>
        <v>807</v>
      </c>
      <c r="BL57" s="24">
        <f t="shared" si="61"/>
        <v>51.86104218362282</v>
      </c>
      <c r="BM57" s="24">
        <f t="shared" si="62"/>
        <v>64.26799007444168</v>
      </c>
      <c r="BN57" s="24">
        <f t="shared" si="63"/>
        <v>26.550868486352357</v>
      </c>
    </row>
    <row r="58" spans="2:66" ht="15">
      <c r="B58" s="32" t="s">
        <v>92</v>
      </c>
      <c r="C58" s="32" t="s">
        <v>120</v>
      </c>
      <c r="D58" s="33" t="s">
        <v>115</v>
      </c>
      <c r="E58" s="33" t="s">
        <v>149</v>
      </c>
      <c r="F58" s="34">
        <v>32534</v>
      </c>
      <c r="G58" s="34">
        <v>6131</v>
      </c>
      <c r="H58" s="34">
        <v>3189</v>
      </c>
      <c r="I58" s="34">
        <v>309</v>
      </c>
      <c r="J58" s="34">
        <v>2393</v>
      </c>
      <c r="K58" s="34">
        <v>63</v>
      </c>
      <c r="L58" s="34">
        <v>178</v>
      </c>
      <c r="M58" s="35">
        <f t="shared" si="33"/>
        <v>6132</v>
      </c>
      <c r="N58" s="34">
        <v>3863</v>
      </c>
      <c r="O58" s="34">
        <v>561</v>
      </c>
      <c r="P58" s="34">
        <v>377</v>
      </c>
      <c r="Q58" s="34">
        <v>75</v>
      </c>
      <c r="R58" s="34">
        <v>239</v>
      </c>
      <c r="S58" s="34">
        <v>994</v>
      </c>
      <c r="T58" s="36">
        <f>24-1</f>
        <v>23</v>
      </c>
      <c r="U58" s="35">
        <f t="shared" si="34"/>
        <v>6132</v>
      </c>
      <c r="V58" s="35">
        <v>1121</v>
      </c>
      <c r="W58" s="35">
        <v>379</v>
      </c>
      <c r="X58" s="35">
        <v>2459</v>
      </c>
      <c r="Y58" s="35">
        <v>79</v>
      </c>
      <c r="Z58" s="35">
        <v>35</v>
      </c>
      <c r="AA58" s="35">
        <v>257</v>
      </c>
      <c r="AB58" s="44">
        <f>1800+2</f>
        <v>1802</v>
      </c>
      <c r="AC58" s="35">
        <f t="shared" si="35"/>
        <v>6132</v>
      </c>
      <c r="AD58" s="42"/>
      <c r="AF58" t="s">
        <v>120</v>
      </c>
      <c r="AG58" s="37" t="s">
        <v>115</v>
      </c>
      <c r="AH58" s="38" t="s">
        <v>149</v>
      </c>
      <c r="AI58" s="40">
        <f t="shared" si="36"/>
        <v>6131</v>
      </c>
      <c r="AJ58" s="41">
        <f t="shared" si="37"/>
        <v>52.00587084148728</v>
      </c>
      <c r="AK58" s="41">
        <f t="shared" si="38"/>
        <v>5.039138943248532</v>
      </c>
      <c r="AL58" s="41">
        <f t="shared" si="39"/>
        <v>39.02478799739074</v>
      </c>
      <c r="AM58" s="41">
        <f t="shared" si="40"/>
        <v>1.0273972602739725</v>
      </c>
      <c r="AN58" s="41">
        <f t="shared" si="41"/>
        <v>2.902804957599478</v>
      </c>
      <c r="AO58" s="41">
        <f t="shared" si="42"/>
        <v>100</v>
      </c>
      <c r="AP58" s="41">
        <f t="shared" si="43"/>
        <v>62.99739073711677</v>
      </c>
      <c r="AQ58" s="41">
        <f t="shared" si="44"/>
        <v>9.148727984344422</v>
      </c>
      <c r="AR58" s="41">
        <f t="shared" si="45"/>
        <v>6.148075668623614</v>
      </c>
      <c r="AS58" s="41">
        <f t="shared" si="46"/>
        <v>1.223091976516634</v>
      </c>
      <c r="AT58" s="41">
        <f t="shared" si="47"/>
        <v>3.897586431833007</v>
      </c>
      <c r="AU58" s="41">
        <f t="shared" si="48"/>
        <v>16.210045662100455</v>
      </c>
      <c r="AV58" s="41">
        <f t="shared" si="49"/>
        <v>0.3750815394651011</v>
      </c>
      <c r="AW58" s="41">
        <f t="shared" si="50"/>
        <v>100</v>
      </c>
      <c r="AX58" s="41">
        <f t="shared" si="51"/>
        <v>18.281148075668625</v>
      </c>
      <c r="AY58" s="41">
        <f t="shared" si="52"/>
        <v>6.180691454664057</v>
      </c>
      <c r="AZ58" s="41">
        <f t="shared" si="53"/>
        <v>40.101108936725375</v>
      </c>
      <c r="BA58" s="41">
        <f t="shared" si="54"/>
        <v>1.288323548597521</v>
      </c>
      <c r="BB58" s="41">
        <f t="shared" si="55"/>
        <v>0.5707762557077625</v>
      </c>
      <c r="BC58" s="41">
        <f t="shared" si="56"/>
        <v>4.191128506196999</v>
      </c>
      <c r="BD58" s="41">
        <f t="shared" si="57"/>
        <v>29.386823222439663</v>
      </c>
      <c r="BE58" s="24">
        <f t="shared" si="58"/>
        <v>99.99999999999999</v>
      </c>
      <c r="BG58" t="s">
        <v>120</v>
      </c>
      <c r="BH58" t="s">
        <v>115</v>
      </c>
      <c r="BI58" t="s">
        <v>149</v>
      </c>
      <c r="BJ58" s="25">
        <f t="shared" si="59"/>
        <v>32534</v>
      </c>
      <c r="BK58" s="25">
        <f t="shared" si="60"/>
        <v>6131</v>
      </c>
      <c r="BL58" s="24">
        <f t="shared" si="61"/>
        <v>47.99412915851272</v>
      </c>
      <c r="BM58" s="24">
        <f t="shared" si="62"/>
        <v>37.00260926288323</v>
      </c>
      <c r="BN58" s="24">
        <f t="shared" si="63"/>
        <v>29.386823222439663</v>
      </c>
    </row>
    <row r="59" spans="2:66" ht="14.25">
      <c r="B59" s="32" t="s">
        <v>92</v>
      </c>
      <c r="C59" s="32" t="s">
        <v>120</v>
      </c>
      <c r="D59" s="33" t="s">
        <v>115</v>
      </c>
      <c r="E59" s="33" t="s">
        <v>150</v>
      </c>
      <c r="F59" s="34">
        <v>2978</v>
      </c>
      <c r="G59" s="34">
        <v>623</v>
      </c>
      <c r="H59" s="34">
        <v>345</v>
      </c>
      <c r="I59" s="34">
        <v>46</v>
      </c>
      <c r="J59" s="34">
        <v>201</v>
      </c>
      <c r="K59" s="34">
        <v>23</v>
      </c>
      <c r="L59" s="34">
        <v>8</v>
      </c>
      <c r="M59" s="35">
        <f t="shared" si="33"/>
        <v>623</v>
      </c>
      <c r="N59" s="34">
        <v>151</v>
      </c>
      <c r="O59" s="34">
        <v>18</v>
      </c>
      <c r="P59" s="34">
        <v>37</v>
      </c>
      <c r="Q59" s="34">
        <v>4</v>
      </c>
      <c r="R59" s="34">
        <v>121</v>
      </c>
      <c r="S59" s="34">
        <f>293-1</f>
        <v>292</v>
      </c>
      <c r="T59" s="34">
        <v>0</v>
      </c>
      <c r="U59" s="35">
        <f t="shared" si="34"/>
        <v>623</v>
      </c>
      <c r="V59" s="35">
        <v>13</v>
      </c>
      <c r="W59" s="35">
        <v>157</v>
      </c>
      <c r="X59" s="35">
        <v>0</v>
      </c>
      <c r="Y59" s="35">
        <v>0</v>
      </c>
      <c r="Z59" s="35">
        <v>69</v>
      </c>
      <c r="AA59" s="35">
        <v>384</v>
      </c>
      <c r="AB59" s="35">
        <v>0</v>
      </c>
      <c r="AC59" s="35">
        <f t="shared" si="35"/>
        <v>623</v>
      </c>
      <c r="AD59" s="42"/>
      <c r="AF59" t="s">
        <v>120</v>
      </c>
      <c r="AG59" s="37" t="s">
        <v>115</v>
      </c>
      <c r="AH59" s="38" t="s">
        <v>150</v>
      </c>
      <c r="AI59" s="40">
        <f t="shared" si="36"/>
        <v>623</v>
      </c>
      <c r="AJ59" s="41">
        <f t="shared" si="37"/>
        <v>55.37720706260032</v>
      </c>
      <c r="AK59" s="41">
        <f t="shared" si="38"/>
        <v>7.3836276083467105</v>
      </c>
      <c r="AL59" s="41">
        <f t="shared" si="39"/>
        <v>32.263242375601926</v>
      </c>
      <c r="AM59" s="41">
        <f t="shared" si="40"/>
        <v>3.6918138041733553</v>
      </c>
      <c r="AN59" s="41">
        <f t="shared" si="41"/>
        <v>1.2841091492776886</v>
      </c>
      <c r="AO59" s="41">
        <f t="shared" si="42"/>
        <v>100</v>
      </c>
      <c r="AP59" s="41">
        <f t="shared" si="43"/>
        <v>24.23756019261637</v>
      </c>
      <c r="AQ59" s="41">
        <f t="shared" si="44"/>
        <v>2.889245585874799</v>
      </c>
      <c r="AR59" s="41">
        <f t="shared" si="45"/>
        <v>5.9390048154093105</v>
      </c>
      <c r="AS59" s="41">
        <f t="shared" si="46"/>
        <v>0.6420545746388443</v>
      </c>
      <c r="AT59" s="41">
        <f t="shared" si="47"/>
        <v>19.42215088282504</v>
      </c>
      <c r="AU59" s="41">
        <f t="shared" si="48"/>
        <v>46.869983948635635</v>
      </c>
      <c r="AV59" s="41">
        <f t="shared" si="49"/>
        <v>0</v>
      </c>
      <c r="AW59" s="41">
        <f t="shared" si="50"/>
        <v>100</v>
      </c>
      <c r="AX59" s="41">
        <f t="shared" si="51"/>
        <v>2.086677367576244</v>
      </c>
      <c r="AY59" s="41">
        <f t="shared" si="52"/>
        <v>25.20064205457464</v>
      </c>
      <c r="AZ59" s="41">
        <f t="shared" si="53"/>
        <v>0</v>
      </c>
      <c r="BA59" s="41">
        <f t="shared" si="54"/>
        <v>0</v>
      </c>
      <c r="BB59" s="41">
        <f t="shared" si="55"/>
        <v>11.075441412520064</v>
      </c>
      <c r="BC59" s="41">
        <f t="shared" si="56"/>
        <v>61.63723916532905</v>
      </c>
      <c r="BD59" s="41">
        <f t="shared" si="57"/>
        <v>0</v>
      </c>
      <c r="BE59" s="24">
        <f t="shared" si="58"/>
        <v>100</v>
      </c>
      <c r="BG59" t="s">
        <v>120</v>
      </c>
      <c r="BH59" t="s">
        <v>115</v>
      </c>
      <c r="BI59" t="s">
        <v>150</v>
      </c>
      <c r="BJ59" s="25">
        <f t="shared" si="59"/>
        <v>2978</v>
      </c>
      <c r="BK59" s="25">
        <f t="shared" si="60"/>
        <v>623</v>
      </c>
      <c r="BL59" s="24">
        <f t="shared" si="61"/>
        <v>44.62279293739968</v>
      </c>
      <c r="BM59" s="24">
        <f t="shared" si="62"/>
        <v>75.76243980738363</v>
      </c>
      <c r="BN59" s="24">
        <f t="shared" si="63"/>
        <v>0</v>
      </c>
    </row>
    <row r="60" spans="2:66" ht="15">
      <c r="B60" s="32" t="s">
        <v>92</v>
      </c>
      <c r="C60" s="32" t="s">
        <v>120</v>
      </c>
      <c r="D60" s="33" t="s">
        <v>115</v>
      </c>
      <c r="E60" s="33" t="s">
        <v>151</v>
      </c>
      <c r="F60" s="34">
        <v>6321</v>
      </c>
      <c r="G60" s="34">
        <v>1093</v>
      </c>
      <c r="H60" s="34">
        <v>791</v>
      </c>
      <c r="I60" s="34">
        <v>67</v>
      </c>
      <c r="J60" s="34">
        <v>236</v>
      </c>
      <c r="K60" s="34">
        <v>0</v>
      </c>
      <c r="L60" s="34">
        <v>0</v>
      </c>
      <c r="M60" s="35">
        <f t="shared" si="33"/>
        <v>1094</v>
      </c>
      <c r="N60" s="34">
        <v>350</v>
      </c>
      <c r="O60" s="34">
        <v>40</v>
      </c>
      <c r="P60" s="34">
        <v>45</v>
      </c>
      <c r="Q60" s="34">
        <v>0</v>
      </c>
      <c r="R60" s="34">
        <v>137</v>
      </c>
      <c r="S60" s="34">
        <v>522</v>
      </c>
      <c r="T60" s="34">
        <v>0</v>
      </c>
      <c r="U60" s="35">
        <f t="shared" si="34"/>
        <v>1094</v>
      </c>
      <c r="V60" s="35">
        <v>0</v>
      </c>
      <c r="W60" s="35">
        <v>106</v>
      </c>
      <c r="X60" s="35">
        <v>421</v>
      </c>
      <c r="Y60" s="35">
        <v>0</v>
      </c>
      <c r="Z60" s="35">
        <v>26</v>
      </c>
      <c r="AA60" s="35">
        <v>0</v>
      </c>
      <c r="AB60" s="44">
        <f>542-1</f>
        <v>541</v>
      </c>
      <c r="AC60" s="35">
        <f t="shared" si="35"/>
        <v>1094</v>
      </c>
      <c r="AD60" s="42"/>
      <c r="AF60" t="s">
        <v>120</v>
      </c>
      <c r="AG60" s="37" t="s">
        <v>115</v>
      </c>
      <c r="AH60" s="38" t="s">
        <v>151</v>
      </c>
      <c r="AI60" s="40">
        <f t="shared" si="36"/>
        <v>1093</v>
      </c>
      <c r="AJ60" s="41">
        <f t="shared" si="37"/>
        <v>72.3034734917733</v>
      </c>
      <c r="AK60" s="41">
        <f t="shared" si="38"/>
        <v>6.124314442413162</v>
      </c>
      <c r="AL60" s="41">
        <f t="shared" si="39"/>
        <v>21.572212065813527</v>
      </c>
      <c r="AM60" s="41">
        <f t="shared" si="40"/>
        <v>0</v>
      </c>
      <c r="AN60" s="41">
        <f t="shared" si="41"/>
        <v>0</v>
      </c>
      <c r="AO60" s="41">
        <f t="shared" si="42"/>
        <v>100</v>
      </c>
      <c r="AP60" s="41">
        <f t="shared" si="43"/>
        <v>31.992687385740403</v>
      </c>
      <c r="AQ60" s="41">
        <f t="shared" si="44"/>
        <v>3.656307129798903</v>
      </c>
      <c r="AR60" s="41">
        <f t="shared" si="45"/>
        <v>4.113345521023766</v>
      </c>
      <c r="AS60" s="41">
        <f t="shared" si="46"/>
        <v>0</v>
      </c>
      <c r="AT60" s="41">
        <f t="shared" si="47"/>
        <v>12.522851919561242</v>
      </c>
      <c r="AU60" s="41">
        <f t="shared" si="48"/>
        <v>47.714808043875685</v>
      </c>
      <c r="AV60" s="41">
        <f t="shared" si="49"/>
        <v>0</v>
      </c>
      <c r="AW60" s="41">
        <f t="shared" si="50"/>
        <v>100</v>
      </c>
      <c r="AX60" s="41">
        <f t="shared" si="51"/>
        <v>0</v>
      </c>
      <c r="AY60" s="41">
        <f t="shared" si="52"/>
        <v>9.689213893967093</v>
      </c>
      <c r="AZ60" s="41">
        <f t="shared" si="53"/>
        <v>38.482632541133455</v>
      </c>
      <c r="BA60" s="41">
        <f t="shared" si="54"/>
        <v>0</v>
      </c>
      <c r="BB60" s="41">
        <f t="shared" si="55"/>
        <v>2.376599634369287</v>
      </c>
      <c r="BC60" s="41">
        <f t="shared" si="56"/>
        <v>0</v>
      </c>
      <c r="BD60" s="41">
        <f t="shared" si="57"/>
        <v>49.45155393053016</v>
      </c>
      <c r="BE60" s="24">
        <f t="shared" si="58"/>
        <v>100</v>
      </c>
      <c r="BG60" t="s">
        <v>120</v>
      </c>
      <c r="BH60" t="s">
        <v>115</v>
      </c>
      <c r="BI60" t="s">
        <v>151</v>
      </c>
      <c r="BJ60" s="25">
        <f t="shared" si="59"/>
        <v>6321</v>
      </c>
      <c r="BK60" s="25">
        <f t="shared" si="60"/>
        <v>1093</v>
      </c>
      <c r="BL60" s="24">
        <f t="shared" si="61"/>
        <v>27.69652650822669</v>
      </c>
      <c r="BM60" s="24">
        <f t="shared" si="62"/>
        <v>68.0073126142596</v>
      </c>
      <c r="BN60" s="24">
        <f t="shared" si="63"/>
        <v>49.45155393053016</v>
      </c>
    </row>
    <row r="61" spans="2:66" ht="14.25">
      <c r="B61" s="32" t="s">
        <v>92</v>
      </c>
      <c r="C61" s="32" t="s">
        <v>120</v>
      </c>
      <c r="D61" s="33" t="s">
        <v>115</v>
      </c>
      <c r="E61" s="33" t="s">
        <v>152</v>
      </c>
      <c r="F61" s="34">
        <v>12462</v>
      </c>
      <c r="G61" s="34">
        <v>2263</v>
      </c>
      <c r="H61" s="34">
        <v>1207</v>
      </c>
      <c r="I61" s="34">
        <v>64</v>
      </c>
      <c r="J61" s="34">
        <v>941</v>
      </c>
      <c r="K61" s="34">
        <v>0</v>
      </c>
      <c r="L61" s="34">
        <v>52</v>
      </c>
      <c r="M61" s="35">
        <f t="shared" si="33"/>
        <v>2264</v>
      </c>
      <c r="N61" s="34">
        <v>419</v>
      </c>
      <c r="O61" s="34">
        <v>81</v>
      </c>
      <c r="P61" s="34">
        <v>116</v>
      </c>
      <c r="Q61" s="34">
        <v>0</v>
      </c>
      <c r="R61" s="34">
        <v>424</v>
      </c>
      <c r="S61" s="34">
        <v>1224</v>
      </c>
      <c r="T61" s="34">
        <v>0</v>
      </c>
      <c r="U61" s="35">
        <f t="shared" si="34"/>
        <v>2264</v>
      </c>
      <c r="V61" s="35">
        <v>8</v>
      </c>
      <c r="W61" s="35">
        <v>151</v>
      </c>
      <c r="X61" s="35">
        <v>954</v>
      </c>
      <c r="Y61" s="35">
        <v>0</v>
      </c>
      <c r="Z61" s="35">
        <v>34</v>
      </c>
      <c r="AA61" s="35">
        <v>60</v>
      </c>
      <c r="AB61" s="35">
        <v>1057</v>
      </c>
      <c r="AC61" s="35">
        <f t="shared" si="35"/>
        <v>2264</v>
      </c>
      <c r="AD61" s="42"/>
      <c r="AF61" t="s">
        <v>120</v>
      </c>
      <c r="AG61" s="37" t="s">
        <v>115</v>
      </c>
      <c r="AH61" s="38" t="s">
        <v>152</v>
      </c>
      <c r="AI61" s="40">
        <f t="shared" si="36"/>
        <v>2263</v>
      </c>
      <c r="AJ61" s="41">
        <f t="shared" si="37"/>
        <v>53.312720848056536</v>
      </c>
      <c r="AK61" s="41">
        <f t="shared" si="38"/>
        <v>2.8268551236749118</v>
      </c>
      <c r="AL61" s="41">
        <f t="shared" si="39"/>
        <v>41.563604240282686</v>
      </c>
      <c r="AM61" s="41">
        <f t="shared" si="40"/>
        <v>0</v>
      </c>
      <c r="AN61" s="41">
        <f t="shared" si="41"/>
        <v>2.2968197879858656</v>
      </c>
      <c r="AO61" s="41">
        <f t="shared" si="42"/>
        <v>100</v>
      </c>
      <c r="AP61" s="41">
        <f t="shared" si="43"/>
        <v>18.507067137809187</v>
      </c>
      <c r="AQ61" s="41">
        <f t="shared" si="44"/>
        <v>3.5777385159010597</v>
      </c>
      <c r="AR61" s="41">
        <f t="shared" si="45"/>
        <v>5.123674911660777</v>
      </c>
      <c r="AS61" s="41">
        <f t="shared" si="46"/>
        <v>0</v>
      </c>
      <c r="AT61" s="41">
        <f t="shared" si="47"/>
        <v>18.727915194346288</v>
      </c>
      <c r="AU61" s="41">
        <f t="shared" si="48"/>
        <v>54.06360424028268</v>
      </c>
      <c r="AV61" s="41">
        <f t="shared" si="49"/>
        <v>0</v>
      </c>
      <c r="AW61" s="41">
        <f t="shared" si="50"/>
        <v>100</v>
      </c>
      <c r="AX61" s="41">
        <f t="shared" si="51"/>
        <v>0.35335689045936397</v>
      </c>
      <c r="AY61" s="41">
        <f t="shared" si="52"/>
        <v>6.669611307420495</v>
      </c>
      <c r="AZ61" s="41">
        <f t="shared" si="53"/>
        <v>42.13780918727915</v>
      </c>
      <c r="BA61" s="41">
        <f t="shared" si="54"/>
        <v>0</v>
      </c>
      <c r="BB61" s="41">
        <f t="shared" si="55"/>
        <v>1.5017667844522968</v>
      </c>
      <c r="BC61" s="41">
        <f t="shared" si="56"/>
        <v>2.65017667844523</v>
      </c>
      <c r="BD61" s="41">
        <f t="shared" si="57"/>
        <v>46.687279151943464</v>
      </c>
      <c r="BE61" s="24">
        <f t="shared" si="58"/>
        <v>100</v>
      </c>
      <c r="BG61" t="s">
        <v>120</v>
      </c>
      <c r="BH61" t="s">
        <v>115</v>
      </c>
      <c r="BI61" t="s">
        <v>152</v>
      </c>
      <c r="BJ61" s="25">
        <f t="shared" si="59"/>
        <v>12462</v>
      </c>
      <c r="BK61" s="25">
        <f t="shared" si="60"/>
        <v>2263</v>
      </c>
      <c r="BL61" s="24">
        <f t="shared" si="61"/>
        <v>46.687279151943464</v>
      </c>
      <c r="BM61" s="24">
        <f t="shared" si="62"/>
        <v>81.4929328621908</v>
      </c>
      <c r="BN61" s="24">
        <f t="shared" si="63"/>
        <v>46.687279151943464</v>
      </c>
    </row>
    <row r="62" spans="2:66" ht="14.25">
      <c r="B62" s="32" t="s">
        <v>92</v>
      </c>
      <c r="C62" s="32" t="s">
        <v>120</v>
      </c>
      <c r="D62" s="33" t="s">
        <v>118</v>
      </c>
      <c r="E62" s="33" t="s">
        <v>153</v>
      </c>
      <c r="F62" s="35">
        <v>7607</v>
      </c>
      <c r="G62" s="35">
        <v>1398</v>
      </c>
      <c r="H62" s="35">
        <v>1157</v>
      </c>
      <c r="I62" s="35">
        <v>145</v>
      </c>
      <c r="J62" s="35">
        <v>97</v>
      </c>
      <c r="K62" s="35">
        <v>0</v>
      </c>
      <c r="L62" s="35">
        <v>0</v>
      </c>
      <c r="M62" s="35">
        <f t="shared" si="33"/>
        <v>1399</v>
      </c>
      <c r="N62" s="35">
        <v>1031</v>
      </c>
      <c r="O62" s="35">
        <v>59</v>
      </c>
      <c r="P62" s="35">
        <v>26</v>
      </c>
      <c r="Q62" s="35">
        <v>0</v>
      </c>
      <c r="R62" s="35">
        <v>49</v>
      </c>
      <c r="S62" s="35">
        <v>233</v>
      </c>
      <c r="T62" s="35">
        <v>1</v>
      </c>
      <c r="U62" s="35">
        <f t="shared" si="34"/>
        <v>1399</v>
      </c>
      <c r="V62" s="35">
        <v>37</v>
      </c>
      <c r="W62" s="35">
        <v>292</v>
      </c>
      <c r="X62" s="35">
        <v>805</v>
      </c>
      <c r="Y62" s="35">
        <v>0</v>
      </c>
      <c r="Z62" s="35">
        <v>37</v>
      </c>
      <c r="AA62" s="35">
        <v>35</v>
      </c>
      <c r="AB62" s="35">
        <v>193</v>
      </c>
      <c r="AC62" s="35">
        <f t="shared" si="35"/>
        <v>1399</v>
      </c>
      <c r="AD62" s="42"/>
      <c r="AF62" t="s">
        <v>120</v>
      </c>
      <c r="AG62" s="37" t="s">
        <v>118</v>
      </c>
      <c r="AH62" s="38" t="s">
        <v>153</v>
      </c>
      <c r="AI62" s="40">
        <f t="shared" si="36"/>
        <v>1398</v>
      </c>
      <c r="AJ62" s="41">
        <f t="shared" si="37"/>
        <v>82.70192994996425</v>
      </c>
      <c r="AK62" s="41">
        <f t="shared" si="38"/>
        <v>10.364546104360258</v>
      </c>
      <c r="AL62" s="41">
        <f t="shared" si="39"/>
        <v>6.933523945675482</v>
      </c>
      <c r="AM62" s="41">
        <f t="shared" si="40"/>
        <v>0</v>
      </c>
      <c r="AN62" s="41">
        <f t="shared" si="41"/>
        <v>0</v>
      </c>
      <c r="AO62" s="41">
        <f t="shared" si="42"/>
        <v>100</v>
      </c>
      <c r="AP62" s="41">
        <f t="shared" si="43"/>
        <v>73.69549678341673</v>
      </c>
      <c r="AQ62" s="41">
        <f t="shared" si="44"/>
        <v>4.2172980700500355</v>
      </c>
      <c r="AR62" s="41">
        <f t="shared" si="45"/>
        <v>1.858470335954253</v>
      </c>
      <c r="AS62" s="41">
        <f t="shared" si="46"/>
        <v>0</v>
      </c>
      <c r="AT62" s="41">
        <f t="shared" si="47"/>
        <v>3.5025017869907074</v>
      </c>
      <c r="AU62" s="41">
        <f t="shared" si="48"/>
        <v>16.654753395282345</v>
      </c>
      <c r="AV62" s="41">
        <f t="shared" si="49"/>
        <v>0.07147962830593281</v>
      </c>
      <c r="AW62" s="41">
        <f t="shared" si="50"/>
        <v>100</v>
      </c>
      <c r="AX62" s="41">
        <f t="shared" si="51"/>
        <v>2.6447462473195142</v>
      </c>
      <c r="AY62" s="41">
        <f t="shared" si="52"/>
        <v>20.87205146533238</v>
      </c>
      <c r="AZ62" s="41">
        <f t="shared" si="53"/>
        <v>57.54110078627591</v>
      </c>
      <c r="BA62" s="41">
        <f t="shared" si="54"/>
        <v>0</v>
      </c>
      <c r="BB62" s="41">
        <f t="shared" si="55"/>
        <v>2.6447462473195142</v>
      </c>
      <c r="BC62" s="41">
        <f t="shared" si="56"/>
        <v>2.501786990707648</v>
      </c>
      <c r="BD62" s="41">
        <f t="shared" si="57"/>
        <v>13.795568263045032</v>
      </c>
      <c r="BE62" s="24">
        <f t="shared" si="58"/>
        <v>100</v>
      </c>
      <c r="BG62" t="s">
        <v>120</v>
      </c>
      <c r="BH62" t="s">
        <v>118</v>
      </c>
      <c r="BI62" t="s">
        <v>153</v>
      </c>
      <c r="BJ62" s="25">
        <f t="shared" si="59"/>
        <v>7607</v>
      </c>
      <c r="BK62" s="25">
        <f t="shared" si="60"/>
        <v>1398</v>
      </c>
      <c r="BL62" s="24">
        <f t="shared" si="61"/>
        <v>17.29807005003574</v>
      </c>
      <c r="BM62" s="24">
        <f t="shared" si="62"/>
        <v>26.304503216583274</v>
      </c>
      <c r="BN62" s="24">
        <f t="shared" si="63"/>
        <v>13.795568263045032</v>
      </c>
    </row>
    <row r="63" spans="2:66" ht="15">
      <c r="B63" s="32" t="s">
        <v>92</v>
      </c>
      <c r="C63" s="32" t="s">
        <v>154</v>
      </c>
      <c r="D63" s="33" t="s">
        <v>94</v>
      </c>
      <c r="E63" s="33" t="s">
        <v>155</v>
      </c>
      <c r="F63" s="34">
        <v>4368</v>
      </c>
      <c r="G63" s="34">
        <v>901</v>
      </c>
      <c r="H63" s="34">
        <v>689</v>
      </c>
      <c r="I63" s="34">
        <v>63</v>
      </c>
      <c r="J63" s="34">
        <v>142</v>
      </c>
      <c r="K63" s="34">
        <v>6</v>
      </c>
      <c r="L63" s="34">
        <v>0</v>
      </c>
      <c r="M63" s="35">
        <f t="shared" si="33"/>
        <v>900</v>
      </c>
      <c r="N63" s="34">
        <v>394</v>
      </c>
      <c r="O63" s="34">
        <v>55</v>
      </c>
      <c r="P63" s="34">
        <v>67</v>
      </c>
      <c r="Q63" s="34">
        <v>19</v>
      </c>
      <c r="R63" s="34">
        <v>22</v>
      </c>
      <c r="S63" s="34">
        <v>343</v>
      </c>
      <c r="T63" s="34">
        <v>0</v>
      </c>
      <c r="U63" s="35">
        <f t="shared" si="34"/>
        <v>900</v>
      </c>
      <c r="V63" s="35">
        <v>0</v>
      </c>
      <c r="W63" s="35">
        <v>173</v>
      </c>
      <c r="X63" s="35">
        <v>606</v>
      </c>
      <c r="Y63" s="35">
        <v>0</v>
      </c>
      <c r="Z63" s="35">
        <v>0</v>
      </c>
      <c r="AA63" s="35">
        <v>5</v>
      </c>
      <c r="AB63" s="44">
        <f>117-1</f>
        <v>116</v>
      </c>
      <c r="AC63" s="35">
        <f t="shared" si="35"/>
        <v>900</v>
      </c>
      <c r="AD63" s="42"/>
      <c r="AF63" t="s">
        <v>154</v>
      </c>
      <c r="AG63" s="37" t="s">
        <v>94</v>
      </c>
      <c r="AH63" s="38" t="s">
        <v>155</v>
      </c>
      <c r="AI63" s="40">
        <f t="shared" si="36"/>
        <v>901</v>
      </c>
      <c r="AJ63" s="41">
        <f t="shared" si="37"/>
        <v>76.55555555555556</v>
      </c>
      <c r="AK63" s="41">
        <f t="shared" si="38"/>
        <v>7.000000000000001</v>
      </c>
      <c r="AL63" s="41">
        <f t="shared" si="39"/>
        <v>15.777777777777777</v>
      </c>
      <c r="AM63" s="41">
        <f t="shared" si="40"/>
        <v>0.6666666666666667</v>
      </c>
      <c r="AN63" s="41">
        <f t="shared" si="41"/>
        <v>0</v>
      </c>
      <c r="AO63" s="41">
        <f t="shared" si="42"/>
        <v>100</v>
      </c>
      <c r="AP63" s="41">
        <f t="shared" si="43"/>
        <v>43.77777777777778</v>
      </c>
      <c r="AQ63" s="41">
        <f t="shared" si="44"/>
        <v>6.111111111111111</v>
      </c>
      <c r="AR63" s="41">
        <f t="shared" si="45"/>
        <v>7.444444444444444</v>
      </c>
      <c r="AS63" s="41">
        <f t="shared" si="46"/>
        <v>2.111111111111111</v>
      </c>
      <c r="AT63" s="41">
        <f t="shared" si="47"/>
        <v>2.4444444444444446</v>
      </c>
      <c r="AU63" s="41">
        <f t="shared" si="48"/>
        <v>38.111111111111114</v>
      </c>
      <c r="AV63" s="41">
        <f t="shared" si="49"/>
        <v>0</v>
      </c>
      <c r="AW63" s="41">
        <f t="shared" si="50"/>
        <v>100</v>
      </c>
      <c r="AX63" s="41">
        <f t="shared" si="51"/>
        <v>0</v>
      </c>
      <c r="AY63" s="41">
        <f t="shared" si="52"/>
        <v>19.22222222222222</v>
      </c>
      <c r="AZ63" s="41">
        <f t="shared" si="53"/>
        <v>67.33333333333333</v>
      </c>
      <c r="BA63" s="41">
        <f t="shared" si="54"/>
        <v>0</v>
      </c>
      <c r="BB63" s="41">
        <f t="shared" si="55"/>
        <v>0</v>
      </c>
      <c r="BC63" s="41">
        <f t="shared" si="56"/>
        <v>0.5555555555555556</v>
      </c>
      <c r="BD63" s="41">
        <f t="shared" si="57"/>
        <v>12.88888888888889</v>
      </c>
      <c r="BE63" s="24">
        <f t="shared" si="58"/>
        <v>99.99999999999999</v>
      </c>
      <c r="BG63" t="s">
        <v>154</v>
      </c>
      <c r="BH63" t="s">
        <v>94</v>
      </c>
      <c r="BI63" t="s">
        <v>155</v>
      </c>
      <c r="BJ63" s="25">
        <f t="shared" si="59"/>
        <v>4368</v>
      </c>
      <c r="BK63" s="25">
        <f t="shared" si="60"/>
        <v>901</v>
      </c>
      <c r="BL63" s="24">
        <f t="shared" si="61"/>
        <v>23.444444444444446</v>
      </c>
      <c r="BM63" s="24">
        <f t="shared" si="62"/>
        <v>56.22222222222222</v>
      </c>
      <c r="BN63" s="24">
        <f t="shared" si="63"/>
        <v>12.88888888888889</v>
      </c>
    </row>
    <row r="64" spans="2:66" ht="15">
      <c r="B64" s="32" t="s">
        <v>92</v>
      </c>
      <c r="C64" s="32" t="s">
        <v>154</v>
      </c>
      <c r="D64" s="33" t="s">
        <v>94</v>
      </c>
      <c r="E64" s="33" t="s">
        <v>112</v>
      </c>
      <c r="F64" s="34">
        <v>10340</v>
      </c>
      <c r="G64" s="34">
        <v>2363</v>
      </c>
      <c r="H64" s="34">
        <v>1803</v>
      </c>
      <c r="I64" s="34">
        <v>117</v>
      </c>
      <c r="J64" s="34">
        <v>414</v>
      </c>
      <c r="K64" s="34">
        <v>28</v>
      </c>
      <c r="L64" s="34">
        <v>0</v>
      </c>
      <c r="M64" s="35">
        <f t="shared" si="33"/>
        <v>2362</v>
      </c>
      <c r="N64" s="34">
        <v>920</v>
      </c>
      <c r="O64" s="34">
        <v>258</v>
      </c>
      <c r="P64" s="34">
        <v>536</v>
      </c>
      <c r="Q64" s="34">
        <v>17</v>
      </c>
      <c r="R64" s="34">
        <v>268</v>
      </c>
      <c r="S64" s="34">
        <v>339</v>
      </c>
      <c r="T64" s="36">
        <f>23+1</f>
        <v>24</v>
      </c>
      <c r="U64" s="35">
        <f t="shared" si="34"/>
        <v>2362</v>
      </c>
      <c r="V64" s="35">
        <v>324</v>
      </c>
      <c r="W64" s="35">
        <v>101</v>
      </c>
      <c r="X64" s="35">
        <v>1241</v>
      </c>
      <c r="Y64" s="35">
        <v>4</v>
      </c>
      <c r="Z64" s="35">
        <v>0</v>
      </c>
      <c r="AA64" s="35">
        <v>51</v>
      </c>
      <c r="AB64" s="44">
        <f>640+1</f>
        <v>641</v>
      </c>
      <c r="AC64" s="35">
        <f t="shared" si="35"/>
        <v>2362</v>
      </c>
      <c r="AD64" s="42"/>
      <c r="AE64" s="45"/>
      <c r="AF64" t="s">
        <v>154</v>
      </c>
      <c r="AG64" s="37" t="s">
        <v>94</v>
      </c>
      <c r="AH64" s="38" t="s">
        <v>112</v>
      </c>
      <c r="AI64" s="40">
        <f t="shared" si="36"/>
        <v>2363</v>
      </c>
      <c r="AJ64" s="41">
        <f t="shared" si="37"/>
        <v>76.33361558001694</v>
      </c>
      <c r="AK64" s="41">
        <f t="shared" si="38"/>
        <v>4.9534292972057585</v>
      </c>
      <c r="AL64" s="41">
        <f t="shared" si="39"/>
        <v>17.527519051651144</v>
      </c>
      <c r="AM64" s="41">
        <f t="shared" si="40"/>
        <v>1.1854360711261642</v>
      </c>
      <c r="AN64" s="41">
        <f t="shared" si="41"/>
        <v>0</v>
      </c>
      <c r="AO64" s="41">
        <f t="shared" si="42"/>
        <v>100</v>
      </c>
      <c r="AP64" s="41">
        <f t="shared" si="43"/>
        <v>38.950042337002536</v>
      </c>
      <c r="AQ64" s="41">
        <f t="shared" si="44"/>
        <v>10.9229466553768</v>
      </c>
      <c r="AR64" s="41">
        <f t="shared" si="45"/>
        <v>22.692633361558002</v>
      </c>
      <c r="AS64" s="41">
        <f t="shared" si="46"/>
        <v>0.7197290431837425</v>
      </c>
      <c r="AT64" s="41">
        <f t="shared" si="47"/>
        <v>11.346316680779001</v>
      </c>
      <c r="AU64" s="41">
        <f t="shared" si="48"/>
        <v>14.352243861134632</v>
      </c>
      <c r="AV64" s="41">
        <f t="shared" si="49"/>
        <v>1.0160880609652836</v>
      </c>
      <c r="AW64" s="41">
        <f t="shared" si="50"/>
        <v>99.99999999999999</v>
      </c>
      <c r="AX64" s="41">
        <f t="shared" si="51"/>
        <v>13.717188823031329</v>
      </c>
      <c r="AY64" s="41">
        <f t="shared" si="52"/>
        <v>4.276037256562235</v>
      </c>
      <c r="AZ64" s="41">
        <f t="shared" si="53"/>
        <v>52.540220152413205</v>
      </c>
      <c r="BA64" s="41">
        <f t="shared" si="54"/>
        <v>0.1693480101608806</v>
      </c>
      <c r="BB64" s="41">
        <f t="shared" si="55"/>
        <v>0</v>
      </c>
      <c r="BC64" s="41">
        <f t="shared" si="56"/>
        <v>2.1591871295512277</v>
      </c>
      <c r="BD64" s="41">
        <f t="shared" si="57"/>
        <v>27.13801862828112</v>
      </c>
      <c r="BE64" s="24">
        <f t="shared" si="58"/>
        <v>99.99999999999999</v>
      </c>
      <c r="BF64" s="45"/>
      <c r="BG64" t="s">
        <v>154</v>
      </c>
      <c r="BH64" t="s">
        <v>94</v>
      </c>
      <c r="BI64" t="s">
        <v>112</v>
      </c>
      <c r="BJ64" s="25">
        <f t="shared" si="59"/>
        <v>10340</v>
      </c>
      <c r="BK64" s="25">
        <f t="shared" si="60"/>
        <v>2363</v>
      </c>
      <c r="BL64" s="24">
        <f t="shared" si="61"/>
        <v>23.666384419983068</v>
      </c>
      <c r="BM64" s="24">
        <f t="shared" si="62"/>
        <v>61.04995766299746</v>
      </c>
      <c r="BN64" s="24">
        <f t="shared" si="63"/>
        <v>27.13801862828112</v>
      </c>
    </row>
    <row r="65" spans="2:66" ht="14.25">
      <c r="B65" s="32" t="s">
        <v>92</v>
      </c>
      <c r="C65" s="32" t="s">
        <v>154</v>
      </c>
      <c r="D65" s="33" t="s">
        <v>94</v>
      </c>
      <c r="E65" s="33" t="s">
        <v>156</v>
      </c>
      <c r="F65" s="34">
        <v>41106</v>
      </c>
      <c r="G65" s="34">
        <v>8148</v>
      </c>
      <c r="H65" s="34">
        <v>5818</v>
      </c>
      <c r="I65" s="34">
        <v>286</v>
      </c>
      <c r="J65" s="34">
        <v>1909</v>
      </c>
      <c r="K65" s="34">
        <v>55</v>
      </c>
      <c r="L65" s="34">
        <v>79</v>
      </c>
      <c r="M65" s="35">
        <f t="shared" si="33"/>
        <v>8147</v>
      </c>
      <c r="N65" s="34">
        <v>4339</v>
      </c>
      <c r="O65" s="34">
        <v>702</v>
      </c>
      <c r="P65" s="34">
        <v>765</v>
      </c>
      <c r="Q65" s="34">
        <v>359</v>
      </c>
      <c r="R65" s="34">
        <v>212</v>
      </c>
      <c r="S65" s="34">
        <v>1714</v>
      </c>
      <c r="T65" s="34">
        <v>56</v>
      </c>
      <c r="U65" s="35">
        <f t="shared" si="34"/>
        <v>8147</v>
      </c>
      <c r="V65" s="35">
        <v>2080</v>
      </c>
      <c r="W65" s="35">
        <v>512</v>
      </c>
      <c r="X65" s="35">
        <v>3195</v>
      </c>
      <c r="Y65" s="35">
        <v>260</v>
      </c>
      <c r="Z65" s="35">
        <v>56</v>
      </c>
      <c r="AA65" s="35">
        <v>326</v>
      </c>
      <c r="AB65" s="35">
        <f>1717+1</f>
        <v>1718</v>
      </c>
      <c r="AC65" s="35">
        <f t="shared" si="35"/>
        <v>8147</v>
      </c>
      <c r="AD65" s="42"/>
      <c r="AE65" s="43"/>
      <c r="AF65" t="s">
        <v>154</v>
      </c>
      <c r="AG65" s="37" t="s">
        <v>94</v>
      </c>
      <c r="AH65" s="38" t="s">
        <v>156</v>
      </c>
      <c r="AI65" s="40">
        <f t="shared" si="36"/>
        <v>8148</v>
      </c>
      <c r="AJ65" s="41">
        <f t="shared" si="37"/>
        <v>71.4127899840432</v>
      </c>
      <c r="AK65" s="41">
        <f t="shared" si="38"/>
        <v>3.510494660611268</v>
      </c>
      <c r="AL65" s="41">
        <f t="shared" si="39"/>
        <v>23.431938136737447</v>
      </c>
      <c r="AM65" s="41">
        <f t="shared" si="40"/>
        <v>0.6750951270406285</v>
      </c>
      <c r="AN65" s="41">
        <f t="shared" si="41"/>
        <v>0.9696820915674481</v>
      </c>
      <c r="AO65" s="41">
        <f t="shared" si="42"/>
        <v>100</v>
      </c>
      <c r="AP65" s="41">
        <f t="shared" si="43"/>
        <v>53.258868295077946</v>
      </c>
      <c r="AQ65" s="41">
        <f t="shared" si="44"/>
        <v>8.616668712409476</v>
      </c>
      <c r="AR65" s="41">
        <f t="shared" si="45"/>
        <v>9.389959494292377</v>
      </c>
      <c r="AS65" s="41">
        <f t="shared" si="46"/>
        <v>4.406530011047011</v>
      </c>
      <c r="AT65" s="41">
        <f t="shared" si="47"/>
        <v>2.6021848533202405</v>
      </c>
      <c r="AU65" s="41">
        <f t="shared" si="48"/>
        <v>21.03841904995704</v>
      </c>
      <c r="AV65" s="41">
        <f t="shared" si="49"/>
        <v>0.6873695838959126</v>
      </c>
      <c r="AW65" s="41">
        <f t="shared" si="50"/>
        <v>100.00000000000001</v>
      </c>
      <c r="AX65" s="41">
        <f t="shared" si="51"/>
        <v>25.53087025899104</v>
      </c>
      <c r="AY65" s="41">
        <f t="shared" si="52"/>
        <v>6.284521909905487</v>
      </c>
      <c r="AZ65" s="41">
        <f t="shared" si="53"/>
        <v>39.21688965263287</v>
      </c>
      <c r="BA65" s="41">
        <f t="shared" si="54"/>
        <v>3.19135878237388</v>
      </c>
      <c r="BB65" s="41">
        <f t="shared" si="55"/>
        <v>0.6873695838959126</v>
      </c>
      <c r="BC65" s="41">
        <f t="shared" si="56"/>
        <v>4.001472934822634</v>
      </c>
      <c r="BD65" s="41">
        <f t="shared" si="57"/>
        <v>21.087516877378178</v>
      </c>
      <c r="BE65" s="24">
        <f t="shared" si="58"/>
        <v>100</v>
      </c>
      <c r="BF65" s="43"/>
      <c r="BG65" t="s">
        <v>154</v>
      </c>
      <c r="BH65" t="s">
        <v>94</v>
      </c>
      <c r="BI65" t="s">
        <v>156</v>
      </c>
      <c r="BJ65" s="25">
        <f t="shared" si="59"/>
        <v>41106</v>
      </c>
      <c r="BK65" s="25">
        <f t="shared" si="60"/>
        <v>8148</v>
      </c>
      <c r="BL65" s="24">
        <f t="shared" si="61"/>
        <v>28.587210015956792</v>
      </c>
      <c r="BM65" s="24">
        <f t="shared" si="62"/>
        <v>46.741131704922054</v>
      </c>
      <c r="BN65" s="24">
        <f t="shared" si="63"/>
        <v>21.087516877378178</v>
      </c>
    </row>
    <row r="66" spans="2:66" ht="14.25">
      <c r="B66" s="32" t="s">
        <v>92</v>
      </c>
      <c r="C66" s="32" t="s">
        <v>154</v>
      </c>
      <c r="D66" s="33" t="s">
        <v>97</v>
      </c>
      <c r="E66" s="33" t="s">
        <v>157</v>
      </c>
      <c r="F66" s="35">
        <v>1705</v>
      </c>
      <c r="G66" s="35">
        <v>363</v>
      </c>
      <c r="H66" s="35">
        <v>343</v>
      </c>
      <c r="I66" s="35">
        <v>4</v>
      </c>
      <c r="J66" s="35">
        <v>14</v>
      </c>
      <c r="K66" s="35">
        <v>0</v>
      </c>
      <c r="L66" s="35">
        <v>0</v>
      </c>
      <c r="M66" s="35">
        <f t="shared" si="33"/>
        <v>361</v>
      </c>
      <c r="N66" s="35">
        <v>274</v>
      </c>
      <c r="O66" s="35">
        <v>25</v>
      </c>
      <c r="P66" s="35">
        <v>24</v>
      </c>
      <c r="Q66" s="35">
        <v>2</v>
      </c>
      <c r="R66" s="35">
        <v>29</v>
      </c>
      <c r="S66" s="35">
        <v>7</v>
      </c>
      <c r="T66" s="35">
        <v>0</v>
      </c>
      <c r="U66" s="35">
        <f t="shared" si="34"/>
        <v>361</v>
      </c>
      <c r="V66" s="35">
        <v>0</v>
      </c>
      <c r="W66" s="35">
        <v>61</v>
      </c>
      <c r="X66" s="35">
        <v>244</v>
      </c>
      <c r="Y66" s="35">
        <v>0</v>
      </c>
      <c r="Z66" s="35">
        <v>0</v>
      </c>
      <c r="AA66" s="35">
        <v>12</v>
      </c>
      <c r="AB66" s="35">
        <v>44</v>
      </c>
      <c r="AC66" s="35">
        <f t="shared" si="35"/>
        <v>361</v>
      </c>
      <c r="AD66" s="42"/>
      <c r="AE66" s="43"/>
      <c r="AF66" t="s">
        <v>154</v>
      </c>
      <c r="AG66" s="37" t="s">
        <v>97</v>
      </c>
      <c r="AH66" s="38" t="s">
        <v>157</v>
      </c>
      <c r="AI66" s="40">
        <f t="shared" si="36"/>
        <v>363</v>
      </c>
      <c r="AJ66" s="41">
        <f t="shared" si="37"/>
        <v>95.01385041551247</v>
      </c>
      <c r="AK66" s="41">
        <f t="shared" si="38"/>
        <v>1.10803324099723</v>
      </c>
      <c r="AL66" s="41">
        <f t="shared" si="39"/>
        <v>3.8781163434903045</v>
      </c>
      <c r="AM66" s="41">
        <f t="shared" si="40"/>
        <v>0</v>
      </c>
      <c r="AN66" s="41">
        <f t="shared" si="41"/>
        <v>0</v>
      </c>
      <c r="AO66" s="41">
        <f t="shared" si="42"/>
        <v>100</v>
      </c>
      <c r="AP66" s="41">
        <f t="shared" si="43"/>
        <v>75.90027700831024</v>
      </c>
      <c r="AQ66" s="41">
        <f t="shared" si="44"/>
        <v>6.9252077562326875</v>
      </c>
      <c r="AR66" s="41">
        <f t="shared" si="45"/>
        <v>6.64819944598338</v>
      </c>
      <c r="AS66" s="41">
        <f t="shared" si="46"/>
        <v>0.554016620498615</v>
      </c>
      <c r="AT66" s="41">
        <f t="shared" si="47"/>
        <v>8.033240997229916</v>
      </c>
      <c r="AU66" s="41">
        <f t="shared" si="48"/>
        <v>1.9390581717451523</v>
      </c>
      <c r="AV66" s="41">
        <f t="shared" si="49"/>
        <v>0</v>
      </c>
      <c r="AW66" s="41">
        <f t="shared" si="50"/>
        <v>99.99999999999997</v>
      </c>
      <c r="AX66" s="41">
        <f t="shared" si="51"/>
        <v>0</v>
      </c>
      <c r="AY66" s="41">
        <f t="shared" si="52"/>
        <v>16.897506925207757</v>
      </c>
      <c r="AZ66" s="41">
        <f t="shared" si="53"/>
        <v>67.59002770083103</v>
      </c>
      <c r="BA66" s="41">
        <f t="shared" si="54"/>
        <v>0</v>
      </c>
      <c r="BB66" s="41">
        <f t="shared" si="55"/>
        <v>0</v>
      </c>
      <c r="BC66" s="41">
        <f t="shared" si="56"/>
        <v>3.32409972299169</v>
      </c>
      <c r="BD66" s="41">
        <f t="shared" si="57"/>
        <v>12.18836565096953</v>
      </c>
      <c r="BE66" s="24">
        <f t="shared" si="58"/>
        <v>100</v>
      </c>
      <c r="BF66" s="43"/>
      <c r="BG66" t="s">
        <v>154</v>
      </c>
      <c r="BH66" t="s">
        <v>97</v>
      </c>
      <c r="BI66" t="s">
        <v>157</v>
      </c>
      <c r="BJ66" s="25">
        <f t="shared" si="59"/>
        <v>1705</v>
      </c>
      <c r="BK66" s="25">
        <f t="shared" si="60"/>
        <v>363</v>
      </c>
      <c r="BL66" s="24">
        <f t="shared" si="61"/>
        <v>4.986149584487535</v>
      </c>
      <c r="BM66" s="24">
        <f t="shared" si="62"/>
        <v>24.099722991689752</v>
      </c>
      <c r="BN66" s="24">
        <f t="shared" si="63"/>
        <v>12.18836565096953</v>
      </c>
    </row>
    <row r="67" spans="2:66" ht="15">
      <c r="B67" s="32" t="s">
        <v>92</v>
      </c>
      <c r="C67" s="32" t="s">
        <v>154</v>
      </c>
      <c r="D67" s="33" t="s">
        <v>97</v>
      </c>
      <c r="E67" s="33" t="s">
        <v>158</v>
      </c>
      <c r="F67" s="35">
        <v>5178</v>
      </c>
      <c r="G67" s="35">
        <v>986</v>
      </c>
      <c r="H67" s="35">
        <v>824</v>
      </c>
      <c r="I67" s="35">
        <v>26</v>
      </c>
      <c r="J67" s="35">
        <v>64</v>
      </c>
      <c r="K67" s="35">
        <v>28</v>
      </c>
      <c r="L67" s="35">
        <v>44</v>
      </c>
      <c r="M67" s="35">
        <f t="shared" si="33"/>
        <v>986</v>
      </c>
      <c r="N67" s="35">
        <v>617</v>
      </c>
      <c r="O67" s="35">
        <v>30</v>
      </c>
      <c r="P67" s="35">
        <v>32</v>
      </c>
      <c r="Q67" s="35">
        <v>4</v>
      </c>
      <c r="R67" s="35">
        <v>49</v>
      </c>
      <c r="S67" s="35">
        <v>253</v>
      </c>
      <c r="T67" s="44">
        <v>1</v>
      </c>
      <c r="U67" s="35">
        <f t="shared" si="34"/>
        <v>986</v>
      </c>
      <c r="V67" s="35">
        <v>168</v>
      </c>
      <c r="W67" s="35">
        <v>233</v>
      </c>
      <c r="X67" s="35">
        <v>226</v>
      </c>
      <c r="Y67" s="35">
        <v>4</v>
      </c>
      <c r="Z67" s="35">
        <v>4</v>
      </c>
      <c r="AA67" s="35">
        <v>6</v>
      </c>
      <c r="AB67" s="44">
        <f>343+2</f>
        <v>345</v>
      </c>
      <c r="AC67" s="35">
        <f t="shared" si="35"/>
        <v>986</v>
      </c>
      <c r="AD67" s="42"/>
      <c r="AE67" s="43"/>
      <c r="AF67" t="s">
        <v>154</v>
      </c>
      <c r="AG67" s="37" t="s">
        <v>97</v>
      </c>
      <c r="AH67" s="38" t="s">
        <v>158</v>
      </c>
      <c r="AI67" s="40">
        <f t="shared" si="36"/>
        <v>986</v>
      </c>
      <c r="AJ67" s="41">
        <f t="shared" si="37"/>
        <v>83.56997971602435</v>
      </c>
      <c r="AK67" s="41">
        <f t="shared" si="38"/>
        <v>2.636916835699797</v>
      </c>
      <c r="AL67" s="41">
        <f t="shared" si="39"/>
        <v>6.490872210953347</v>
      </c>
      <c r="AM67" s="41">
        <f t="shared" si="40"/>
        <v>2.839756592292089</v>
      </c>
      <c r="AN67" s="41">
        <f t="shared" si="41"/>
        <v>4.462474645030426</v>
      </c>
      <c r="AO67" s="41">
        <f t="shared" si="42"/>
        <v>100</v>
      </c>
      <c r="AP67" s="41">
        <f t="shared" si="43"/>
        <v>62.57606490872211</v>
      </c>
      <c r="AQ67" s="41">
        <f t="shared" si="44"/>
        <v>3.0425963488843815</v>
      </c>
      <c r="AR67" s="41">
        <f t="shared" si="45"/>
        <v>3.2454361054766734</v>
      </c>
      <c r="AS67" s="41">
        <f t="shared" si="46"/>
        <v>0.4056795131845842</v>
      </c>
      <c r="AT67" s="41">
        <f t="shared" si="47"/>
        <v>4.9695740365111565</v>
      </c>
      <c r="AU67" s="41">
        <f t="shared" si="48"/>
        <v>25.65922920892495</v>
      </c>
      <c r="AV67" s="41">
        <f t="shared" si="49"/>
        <v>0.10141987829614604</v>
      </c>
      <c r="AW67" s="41">
        <f t="shared" si="50"/>
        <v>99.99999999999999</v>
      </c>
      <c r="AX67" s="41">
        <f t="shared" si="51"/>
        <v>17.038539553752535</v>
      </c>
      <c r="AY67" s="41">
        <f t="shared" si="52"/>
        <v>23.63083164300203</v>
      </c>
      <c r="AZ67" s="41">
        <f t="shared" si="53"/>
        <v>22.920892494929006</v>
      </c>
      <c r="BA67" s="41">
        <f t="shared" si="54"/>
        <v>0.4056795131845842</v>
      </c>
      <c r="BB67" s="41">
        <f t="shared" si="55"/>
        <v>0.4056795131845842</v>
      </c>
      <c r="BC67" s="41">
        <f t="shared" si="56"/>
        <v>0.6085192697768762</v>
      </c>
      <c r="BD67" s="41">
        <f t="shared" si="57"/>
        <v>34.98985801217038</v>
      </c>
      <c r="BE67" s="24">
        <f t="shared" si="58"/>
        <v>100</v>
      </c>
      <c r="BF67" s="43"/>
      <c r="BG67" t="s">
        <v>154</v>
      </c>
      <c r="BH67" t="s">
        <v>97</v>
      </c>
      <c r="BI67" t="s">
        <v>158</v>
      </c>
      <c r="BJ67" s="25">
        <f t="shared" si="59"/>
        <v>5178</v>
      </c>
      <c r="BK67" s="25">
        <f t="shared" si="60"/>
        <v>986</v>
      </c>
      <c r="BL67" s="24">
        <f t="shared" si="61"/>
        <v>16.430020283975658</v>
      </c>
      <c r="BM67" s="24">
        <f t="shared" si="62"/>
        <v>37.42393509127789</v>
      </c>
      <c r="BN67" s="24">
        <f t="shared" si="63"/>
        <v>34.98985801217038</v>
      </c>
    </row>
    <row r="68" spans="2:66" ht="15">
      <c r="B68" s="32" t="s">
        <v>92</v>
      </c>
      <c r="C68" s="32" t="s">
        <v>154</v>
      </c>
      <c r="D68" s="33" t="s">
        <v>97</v>
      </c>
      <c r="E68" s="33" t="s">
        <v>159</v>
      </c>
      <c r="F68" s="35">
        <v>5784</v>
      </c>
      <c r="G68" s="35">
        <v>1208</v>
      </c>
      <c r="H68" s="35">
        <v>1034</v>
      </c>
      <c r="I68" s="35">
        <v>36</v>
      </c>
      <c r="J68" s="35">
        <v>87</v>
      </c>
      <c r="K68" s="35">
        <v>42</v>
      </c>
      <c r="L68" s="35">
        <v>8</v>
      </c>
      <c r="M68" s="35">
        <f t="shared" si="33"/>
        <v>1207</v>
      </c>
      <c r="N68" s="35">
        <v>973</v>
      </c>
      <c r="O68" s="35">
        <v>48</v>
      </c>
      <c r="P68" s="35">
        <v>29</v>
      </c>
      <c r="Q68" s="35">
        <v>0</v>
      </c>
      <c r="R68" s="35">
        <v>8</v>
      </c>
      <c r="S68" s="44">
        <f>150-1</f>
        <v>149</v>
      </c>
      <c r="T68" s="35">
        <v>0</v>
      </c>
      <c r="U68" s="35">
        <f t="shared" si="34"/>
        <v>1207</v>
      </c>
      <c r="V68" s="35">
        <v>257</v>
      </c>
      <c r="W68" s="35">
        <v>119</v>
      </c>
      <c r="X68" s="35">
        <v>699</v>
      </c>
      <c r="Y68" s="35">
        <v>12</v>
      </c>
      <c r="Z68" s="35">
        <v>0</v>
      </c>
      <c r="AA68" s="35">
        <v>29</v>
      </c>
      <c r="AB68" s="44">
        <f>92-1</f>
        <v>91</v>
      </c>
      <c r="AC68" s="35">
        <f t="shared" si="35"/>
        <v>1207</v>
      </c>
      <c r="AD68" s="42"/>
      <c r="AE68" s="43"/>
      <c r="AF68" t="s">
        <v>154</v>
      </c>
      <c r="AG68" s="37" t="s">
        <v>97</v>
      </c>
      <c r="AH68" s="38" t="s">
        <v>159</v>
      </c>
      <c r="AI68" s="40">
        <f t="shared" si="36"/>
        <v>1208</v>
      </c>
      <c r="AJ68" s="41">
        <f t="shared" si="37"/>
        <v>85.66694283347141</v>
      </c>
      <c r="AK68" s="41">
        <f t="shared" si="38"/>
        <v>2.9826014913007457</v>
      </c>
      <c r="AL68" s="41">
        <f t="shared" si="39"/>
        <v>7.207953603976803</v>
      </c>
      <c r="AM68" s="41">
        <f t="shared" si="40"/>
        <v>3.47970173985087</v>
      </c>
      <c r="AN68" s="41">
        <f t="shared" si="41"/>
        <v>0.6628003314001657</v>
      </c>
      <c r="AO68" s="41">
        <f t="shared" si="42"/>
        <v>99.99999999999999</v>
      </c>
      <c r="AP68" s="41">
        <f t="shared" si="43"/>
        <v>80.61309030654516</v>
      </c>
      <c r="AQ68" s="41">
        <f t="shared" si="44"/>
        <v>3.9768019884009944</v>
      </c>
      <c r="AR68" s="41">
        <f t="shared" si="45"/>
        <v>2.4026512013256007</v>
      </c>
      <c r="AS68" s="41">
        <f t="shared" si="46"/>
        <v>0</v>
      </c>
      <c r="AT68" s="41">
        <f t="shared" si="47"/>
        <v>0.6628003314001657</v>
      </c>
      <c r="AU68" s="41">
        <f t="shared" si="48"/>
        <v>12.344656172328087</v>
      </c>
      <c r="AV68" s="41">
        <f t="shared" si="49"/>
        <v>0</v>
      </c>
      <c r="AW68" s="41">
        <f t="shared" si="50"/>
        <v>100</v>
      </c>
      <c r="AX68" s="41">
        <f t="shared" si="51"/>
        <v>21.292460646230325</v>
      </c>
      <c r="AY68" s="41">
        <f t="shared" si="52"/>
        <v>9.859154929577464</v>
      </c>
      <c r="AZ68" s="41">
        <f t="shared" si="53"/>
        <v>57.91217895608948</v>
      </c>
      <c r="BA68" s="41">
        <f t="shared" si="54"/>
        <v>0.9942004971002486</v>
      </c>
      <c r="BB68" s="41">
        <f t="shared" si="55"/>
        <v>0</v>
      </c>
      <c r="BC68" s="41">
        <f t="shared" si="56"/>
        <v>2.4026512013256007</v>
      </c>
      <c r="BD68" s="41">
        <f t="shared" si="57"/>
        <v>7.539353769676885</v>
      </c>
      <c r="BE68" s="24">
        <f t="shared" si="58"/>
        <v>99.99999999999999</v>
      </c>
      <c r="BF68" s="43"/>
      <c r="BG68" t="s">
        <v>154</v>
      </c>
      <c r="BH68" t="s">
        <v>97</v>
      </c>
      <c r="BI68" t="s">
        <v>159</v>
      </c>
      <c r="BJ68" s="25">
        <f t="shared" si="59"/>
        <v>5784</v>
      </c>
      <c r="BK68" s="25">
        <f t="shared" si="60"/>
        <v>1208</v>
      </c>
      <c r="BL68" s="24">
        <f t="shared" si="61"/>
        <v>14.333057166528585</v>
      </c>
      <c r="BM68" s="24">
        <f t="shared" si="62"/>
        <v>19.386909693454847</v>
      </c>
      <c r="BN68" s="24">
        <f t="shared" si="63"/>
        <v>7.539353769676885</v>
      </c>
    </row>
    <row r="69" spans="2:66" ht="15">
      <c r="B69" s="32" t="s">
        <v>92</v>
      </c>
      <c r="C69" s="32" t="s">
        <v>154</v>
      </c>
      <c r="D69" s="33" t="s">
        <v>97</v>
      </c>
      <c r="E69" s="33" t="s">
        <v>160</v>
      </c>
      <c r="F69" s="35">
        <v>10218</v>
      </c>
      <c r="G69" s="35">
        <v>2142</v>
      </c>
      <c r="H69" s="35">
        <v>1853</v>
      </c>
      <c r="I69" s="35">
        <v>97</v>
      </c>
      <c r="J69" s="35">
        <v>119</v>
      </c>
      <c r="K69" s="35">
        <v>72</v>
      </c>
      <c r="L69" s="35">
        <v>0</v>
      </c>
      <c r="M69" s="35">
        <f t="shared" si="33"/>
        <v>2141</v>
      </c>
      <c r="N69" s="35">
        <v>1904</v>
      </c>
      <c r="O69" s="35">
        <v>159</v>
      </c>
      <c r="P69" s="35">
        <v>40</v>
      </c>
      <c r="Q69" s="35">
        <v>0</v>
      </c>
      <c r="R69" s="35">
        <v>14</v>
      </c>
      <c r="S69" s="44">
        <f>25-1</f>
        <v>24</v>
      </c>
      <c r="T69" s="35">
        <v>0</v>
      </c>
      <c r="U69" s="35">
        <f t="shared" si="34"/>
        <v>2141</v>
      </c>
      <c r="V69" s="35">
        <v>112</v>
      </c>
      <c r="W69" s="35">
        <v>176</v>
      </c>
      <c r="X69" s="35">
        <v>1663</v>
      </c>
      <c r="Y69" s="35">
        <v>0</v>
      </c>
      <c r="Z69" s="35">
        <v>22</v>
      </c>
      <c r="AA69" s="35">
        <v>69</v>
      </c>
      <c r="AB69" s="44">
        <f>101-2</f>
        <v>99</v>
      </c>
      <c r="AC69" s="35">
        <f t="shared" si="35"/>
        <v>2141</v>
      </c>
      <c r="AD69" s="42"/>
      <c r="AE69" s="42"/>
      <c r="AF69" t="s">
        <v>154</v>
      </c>
      <c r="AG69" s="37" t="s">
        <v>97</v>
      </c>
      <c r="AH69" s="38" t="s">
        <v>160</v>
      </c>
      <c r="AI69" s="40">
        <f t="shared" si="36"/>
        <v>2142</v>
      </c>
      <c r="AJ69" s="41">
        <f t="shared" si="37"/>
        <v>86.54834189631013</v>
      </c>
      <c r="AK69" s="41">
        <f t="shared" si="38"/>
        <v>4.5305931807566555</v>
      </c>
      <c r="AL69" s="41">
        <f t="shared" si="39"/>
        <v>5.558150397010743</v>
      </c>
      <c r="AM69" s="41">
        <f t="shared" si="40"/>
        <v>3.362914525922466</v>
      </c>
      <c r="AN69" s="41">
        <f t="shared" si="41"/>
        <v>0</v>
      </c>
      <c r="AO69" s="41">
        <f t="shared" si="42"/>
        <v>100</v>
      </c>
      <c r="AP69" s="41">
        <f t="shared" si="43"/>
        <v>88.93040635217189</v>
      </c>
      <c r="AQ69" s="41">
        <f t="shared" si="44"/>
        <v>7.426436244745446</v>
      </c>
      <c r="AR69" s="41">
        <f t="shared" si="45"/>
        <v>1.8682858477347033</v>
      </c>
      <c r="AS69" s="41">
        <f t="shared" si="46"/>
        <v>0</v>
      </c>
      <c r="AT69" s="41">
        <f t="shared" si="47"/>
        <v>0.6539000467071462</v>
      </c>
      <c r="AU69" s="41">
        <f t="shared" si="48"/>
        <v>1.120971508640822</v>
      </c>
      <c r="AV69" s="41">
        <f t="shared" si="49"/>
        <v>0</v>
      </c>
      <c r="AW69" s="41">
        <f t="shared" si="50"/>
        <v>100</v>
      </c>
      <c r="AX69" s="41">
        <f t="shared" si="51"/>
        <v>5.2312003736571695</v>
      </c>
      <c r="AY69" s="41">
        <f t="shared" si="52"/>
        <v>8.220457730032695</v>
      </c>
      <c r="AZ69" s="41">
        <f t="shared" si="53"/>
        <v>77.67398411957029</v>
      </c>
      <c r="BA69" s="41">
        <f t="shared" si="54"/>
        <v>0</v>
      </c>
      <c r="BB69" s="41">
        <f t="shared" si="55"/>
        <v>1.027557216254087</v>
      </c>
      <c r="BC69" s="41">
        <f t="shared" si="56"/>
        <v>3.2227930873423634</v>
      </c>
      <c r="BD69" s="41">
        <f t="shared" si="57"/>
        <v>4.624007473143391</v>
      </c>
      <c r="BE69" s="24">
        <f t="shared" si="58"/>
        <v>100</v>
      </c>
      <c r="BF69" s="42"/>
      <c r="BG69" t="s">
        <v>154</v>
      </c>
      <c r="BH69" t="s">
        <v>97</v>
      </c>
      <c r="BI69" t="s">
        <v>160</v>
      </c>
      <c r="BJ69" s="25">
        <f t="shared" si="59"/>
        <v>10218</v>
      </c>
      <c r="BK69" s="25">
        <f t="shared" si="60"/>
        <v>2142</v>
      </c>
      <c r="BL69" s="24">
        <f t="shared" si="61"/>
        <v>13.451658103689866</v>
      </c>
      <c r="BM69" s="24">
        <f t="shared" si="62"/>
        <v>11.06959364782812</v>
      </c>
      <c r="BN69" s="24">
        <f t="shared" si="63"/>
        <v>4.624007473143391</v>
      </c>
    </row>
    <row r="70" spans="2:66" ht="15">
      <c r="B70" s="32" t="s">
        <v>92</v>
      </c>
      <c r="C70" s="32" t="s">
        <v>154</v>
      </c>
      <c r="D70" s="33" t="s">
        <v>97</v>
      </c>
      <c r="E70" s="33" t="s">
        <v>161</v>
      </c>
      <c r="F70" s="35">
        <v>11894</v>
      </c>
      <c r="G70" s="35">
        <v>2449</v>
      </c>
      <c r="H70" s="35">
        <v>1958</v>
      </c>
      <c r="I70" s="35">
        <v>20</v>
      </c>
      <c r="J70" s="35">
        <v>366</v>
      </c>
      <c r="K70" s="35">
        <v>75</v>
      </c>
      <c r="L70" s="35">
        <v>30</v>
      </c>
      <c r="M70" s="35">
        <f t="shared" si="33"/>
        <v>2449</v>
      </c>
      <c r="N70" s="35">
        <v>1411</v>
      </c>
      <c r="O70" s="35">
        <v>152</v>
      </c>
      <c r="P70" s="35">
        <v>58</v>
      </c>
      <c r="Q70" s="35">
        <v>0</v>
      </c>
      <c r="R70" s="35">
        <v>30</v>
      </c>
      <c r="S70" s="35">
        <v>798</v>
      </c>
      <c r="T70" s="35">
        <v>0</v>
      </c>
      <c r="U70" s="35">
        <f t="shared" si="34"/>
        <v>2449</v>
      </c>
      <c r="V70" s="35">
        <v>510</v>
      </c>
      <c r="W70" s="35">
        <v>339</v>
      </c>
      <c r="X70" s="35">
        <v>1102</v>
      </c>
      <c r="Y70" s="35">
        <v>44</v>
      </c>
      <c r="Z70" s="35">
        <v>15</v>
      </c>
      <c r="AA70" s="35">
        <v>84</v>
      </c>
      <c r="AB70" s="44">
        <f>356-1</f>
        <v>355</v>
      </c>
      <c r="AC70" s="35">
        <f t="shared" si="35"/>
        <v>2449</v>
      </c>
      <c r="AD70" s="42"/>
      <c r="AF70" t="s">
        <v>154</v>
      </c>
      <c r="AG70" s="37" t="s">
        <v>97</v>
      </c>
      <c r="AH70" s="38" t="s">
        <v>161</v>
      </c>
      <c r="AI70" s="40">
        <f t="shared" si="36"/>
        <v>2449</v>
      </c>
      <c r="AJ70" s="41">
        <f t="shared" si="37"/>
        <v>79.95100040832993</v>
      </c>
      <c r="AK70" s="41">
        <f t="shared" si="38"/>
        <v>0.8166598611678236</v>
      </c>
      <c r="AL70" s="41">
        <f t="shared" si="39"/>
        <v>14.94487545937117</v>
      </c>
      <c r="AM70" s="41">
        <f t="shared" si="40"/>
        <v>3.0624744793793384</v>
      </c>
      <c r="AN70" s="41">
        <f t="shared" si="41"/>
        <v>1.2249897917517354</v>
      </c>
      <c r="AO70" s="41">
        <f t="shared" si="42"/>
        <v>100</v>
      </c>
      <c r="AP70" s="41">
        <f t="shared" si="43"/>
        <v>57.61535320538995</v>
      </c>
      <c r="AQ70" s="41">
        <f t="shared" si="44"/>
        <v>6.20661494487546</v>
      </c>
      <c r="AR70" s="41">
        <f t="shared" si="45"/>
        <v>2.3683135973866882</v>
      </c>
      <c r="AS70" s="41">
        <f t="shared" si="46"/>
        <v>0</v>
      </c>
      <c r="AT70" s="41">
        <f t="shared" si="47"/>
        <v>1.2249897917517354</v>
      </c>
      <c r="AU70" s="41">
        <f t="shared" si="48"/>
        <v>32.58472846059616</v>
      </c>
      <c r="AV70" s="41">
        <f t="shared" si="49"/>
        <v>0</v>
      </c>
      <c r="AW70" s="41">
        <f t="shared" si="50"/>
        <v>100</v>
      </c>
      <c r="AX70" s="41">
        <f t="shared" si="51"/>
        <v>20.8248264597795</v>
      </c>
      <c r="AY70" s="41">
        <f t="shared" si="52"/>
        <v>13.842384646794608</v>
      </c>
      <c r="AZ70" s="41">
        <f t="shared" si="53"/>
        <v>44.997958350347076</v>
      </c>
      <c r="BA70" s="41">
        <f t="shared" si="54"/>
        <v>1.796651694569212</v>
      </c>
      <c r="BB70" s="41">
        <f t="shared" si="55"/>
        <v>0.6124948958758677</v>
      </c>
      <c r="BC70" s="41">
        <f t="shared" si="56"/>
        <v>3.429971416904859</v>
      </c>
      <c r="BD70" s="41">
        <f t="shared" si="57"/>
        <v>14.495712535728869</v>
      </c>
      <c r="BE70" s="24">
        <f t="shared" si="58"/>
        <v>99.99999999999999</v>
      </c>
      <c r="BG70" t="s">
        <v>154</v>
      </c>
      <c r="BH70" t="s">
        <v>97</v>
      </c>
      <c r="BI70" t="s">
        <v>161</v>
      </c>
      <c r="BJ70" s="25">
        <f t="shared" si="59"/>
        <v>11894</v>
      </c>
      <c r="BK70" s="25">
        <f t="shared" si="60"/>
        <v>2449</v>
      </c>
      <c r="BL70" s="24">
        <f t="shared" si="61"/>
        <v>20.048999591670068</v>
      </c>
      <c r="BM70" s="24">
        <f t="shared" si="62"/>
        <v>42.38464679461004</v>
      </c>
      <c r="BN70" s="24">
        <f t="shared" si="63"/>
        <v>14.495712535728869</v>
      </c>
    </row>
    <row r="71" spans="2:66" ht="15">
      <c r="B71" s="32" t="s">
        <v>92</v>
      </c>
      <c r="C71" s="32" t="s">
        <v>154</v>
      </c>
      <c r="D71" s="33" t="s">
        <v>97</v>
      </c>
      <c r="E71" s="33" t="s">
        <v>162</v>
      </c>
      <c r="F71" s="35">
        <v>8113</v>
      </c>
      <c r="G71" s="35">
        <v>1680</v>
      </c>
      <c r="H71" s="35">
        <v>1408</v>
      </c>
      <c r="I71" s="35">
        <v>102</v>
      </c>
      <c r="J71" s="35">
        <v>163</v>
      </c>
      <c r="K71" s="35">
        <v>8</v>
      </c>
      <c r="L71" s="35">
        <v>0</v>
      </c>
      <c r="M71" s="35">
        <f t="shared" si="33"/>
        <v>1681</v>
      </c>
      <c r="N71" s="35">
        <v>655</v>
      </c>
      <c r="O71" s="35">
        <v>73</v>
      </c>
      <c r="P71" s="35">
        <v>44</v>
      </c>
      <c r="Q71" s="35">
        <v>0</v>
      </c>
      <c r="R71" s="35">
        <v>338</v>
      </c>
      <c r="S71" s="35">
        <v>570</v>
      </c>
      <c r="T71" s="44">
        <v>1</v>
      </c>
      <c r="U71" s="35">
        <f t="shared" si="34"/>
        <v>1681</v>
      </c>
      <c r="V71" s="35">
        <v>23</v>
      </c>
      <c r="W71" s="35">
        <v>310</v>
      </c>
      <c r="X71" s="35">
        <v>1054</v>
      </c>
      <c r="Y71" s="35">
        <v>0</v>
      </c>
      <c r="Z71" s="35">
        <v>8</v>
      </c>
      <c r="AA71" s="35">
        <v>56</v>
      </c>
      <c r="AB71" s="35">
        <v>230</v>
      </c>
      <c r="AC71" s="35">
        <f t="shared" si="35"/>
        <v>1681</v>
      </c>
      <c r="AD71" s="42"/>
      <c r="AE71" s="45"/>
      <c r="AF71" t="s">
        <v>154</v>
      </c>
      <c r="AG71" s="37" t="s">
        <v>97</v>
      </c>
      <c r="AH71" s="38" t="s">
        <v>162</v>
      </c>
      <c r="AI71" s="40">
        <f t="shared" si="36"/>
        <v>1680</v>
      </c>
      <c r="AJ71" s="41">
        <f t="shared" si="37"/>
        <v>83.75966686496133</v>
      </c>
      <c r="AK71" s="41">
        <f t="shared" si="38"/>
        <v>6.0678167757287325</v>
      </c>
      <c r="AL71" s="41">
        <f t="shared" si="39"/>
        <v>9.696609161213564</v>
      </c>
      <c r="AM71" s="41">
        <f t="shared" si="40"/>
        <v>0.4759071980963712</v>
      </c>
      <c r="AN71" s="41">
        <f t="shared" si="41"/>
        <v>0</v>
      </c>
      <c r="AO71" s="41">
        <f t="shared" si="42"/>
        <v>99.99999999999999</v>
      </c>
      <c r="AP71" s="41">
        <f t="shared" si="43"/>
        <v>38.96490184414039</v>
      </c>
      <c r="AQ71" s="41">
        <f t="shared" si="44"/>
        <v>4.3426531826293875</v>
      </c>
      <c r="AR71" s="41">
        <f t="shared" si="45"/>
        <v>2.6174895895300416</v>
      </c>
      <c r="AS71" s="41">
        <f t="shared" si="46"/>
        <v>0</v>
      </c>
      <c r="AT71" s="41">
        <f t="shared" si="47"/>
        <v>20.107079119571683</v>
      </c>
      <c r="AU71" s="41">
        <f t="shared" si="48"/>
        <v>33.908387864366446</v>
      </c>
      <c r="AV71" s="41">
        <f t="shared" si="49"/>
        <v>0.0594883997620464</v>
      </c>
      <c r="AW71" s="41">
        <f t="shared" si="50"/>
        <v>99.99999999999999</v>
      </c>
      <c r="AX71" s="41">
        <f t="shared" si="51"/>
        <v>1.3682331945270672</v>
      </c>
      <c r="AY71" s="41">
        <f t="shared" si="52"/>
        <v>18.441403926234383</v>
      </c>
      <c r="AZ71" s="41">
        <f t="shared" si="53"/>
        <v>62.7007733491969</v>
      </c>
      <c r="BA71" s="41">
        <f t="shared" si="54"/>
        <v>0</v>
      </c>
      <c r="BB71" s="41">
        <f t="shared" si="55"/>
        <v>0.4759071980963712</v>
      </c>
      <c r="BC71" s="41">
        <f t="shared" si="56"/>
        <v>3.331350386674598</v>
      </c>
      <c r="BD71" s="41">
        <f t="shared" si="57"/>
        <v>13.682331945270674</v>
      </c>
      <c r="BE71" s="24">
        <f t="shared" si="58"/>
        <v>99.99999999999999</v>
      </c>
      <c r="BF71" s="45"/>
      <c r="BG71" t="s">
        <v>154</v>
      </c>
      <c r="BH71" t="s">
        <v>97</v>
      </c>
      <c r="BI71" t="s">
        <v>162</v>
      </c>
      <c r="BJ71" s="25">
        <f t="shared" si="59"/>
        <v>8113</v>
      </c>
      <c r="BK71" s="25">
        <f t="shared" si="60"/>
        <v>1680</v>
      </c>
      <c r="BL71" s="24">
        <f t="shared" si="61"/>
        <v>16.240333135038668</v>
      </c>
      <c r="BM71" s="24">
        <f t="shared" si="62"/>
        <v>61.0350981558596</v>
      </c>
      <c r="BN71" s="24">
        <f t="shared" si="63"/>
        <v>13.682331945270674</v>
      </c>
    </row>
    <row r="72" spans="2:66" ht="15">
      <c r="B72" s="32" t="s">
        <v>92</v>
      </c>
      <c r="C72" s="32" t="s">
        <v>154</v>
      </c>
      <c r="D72" s="33" t="s">
        <v>97</v>
      </c>
      <c r="E72" s="33" t="s">
        <v>163</v>
      </c>
      <c r="F72" s="35">
        <v>28937</v>
      </c>
      <c r="G72" s="35">
        <v>7104</v>
      </c>
      <c r="H72" s="35">
        <v>5337</v>
      </c>
      <c r="I72" s="35">
        <v>398</v>
      </c>
      <c r="J72" s="35">
        <v>1309</v>
      </c>
      <c r="K72" s="35">
        <v>60</v>
      </c>
      <c r="L72" s="35">
        <v>0</v>
      </c>
      <c r="M72" s="35">
        <f t="shared" si="33"/>
        <v>7104</v>
      </c>
      <c r="N72" s="35">
        <v>3437</v>
      </c>
      <c r="O72" s="35">
        <v>413</v>
      </c>
      <c r="P72" s="35">
        <v>274</v>
      </c>
      <c r="Q72" s="35">
        <v>74</v>
      </c>
      <c r="R72" s="35">
        <v>1997</v>
      </c>
      <c r="S72" s="35">
        <v>894</v>
      </c>
      <c r="T72" s="44">
        <f>14+1</f>
        <v>15</v>
      </c>
      <c r="U72" s="35">
        <f t="shared" si="34"/>
        <v>7104</v>
      </c>
      <c r="V72" s="35">
        <v>1349</v>
      </c>
      <c r="W72" s="35">
        <v>341</v>
      </c>
      <c r="X72" s="35">
        <v>4310</v>
      </c>
      <c r="Y72" s="35">
        <v>185</v>
      </c>
      <c r="Z72" s="35">
        <v>0</v>
      </c>
      <c r="AA72" s="35">
        <v>60</v>
      </c>
      <c r="AB72" s="44">
        <f>860-1</f>
        <v>859</v>
      </c>
      <c r="AC72" s="35">
        <f t="shared" si="35"/>
        <v>7104</v>
      </c>
      <c r="AD72" s="42"/>
      <c r="AE72" s="43"/>
      <c r="AF72" t="s">
        <v>154</v>
      </c>
      <c r="AG72" s="37" t="s">
        <v>97</v>
      </c>
      <c r="AH72" s="38" t="s">
        <v>163</v>
      </c>
      <c r="AI72" s="40">
        <f t="shared" si="36"/>
        <v>7104</v>
      </c>
      <c r="AJ72" s="41">
        <f t="shared" si="37"/>
        <v>75.1266891891892</v>
      </c>
      <c r="AK72" s="41">
        <f t="shared" si="38"/>
        <v>5.6024774774774775</v>
      </c>
      <c r="AL72" s="41">
        <f t="shared" si="39"/>
        <v>18.42623873873874</v>
      </c>
      <c r="AM72" s="41">
        <f t="shared" si="40"/>
        <v>0.8445945945945946</v>
      </c>
      <c r="AN72" s="41">
        <f t="shared" si="41"/>
        <v>0</v>
      </c>
      <c r="AO72" s="41">
        <f t="shared" si="42"/>
        <v>100.00000000000001</v>
      </c>
      <c r="AP72" s="41">
        <f t="shared" si="43"/>
        <v>48.38119369369369</v>
      </c>
      <c r="AQ72" s="41">
        <f t="shared" si="44"/>
        <v>5.813626126126127</v>
      </c>
      <c r="AR72" s="41">
        <f t="shared" si="45"/>
        <v>3.856981981981982</v>
      </c>
      <c r="AS72" s="41">
        <f t="shared" si="46"/>
        <v>1.0416666666666665</v>
      </c>
      <c r="AT72" s="41">
        <f t="shared" si="47"/>
        <v>28.110923423423422</v>
      </c>
      <c r="AU72" s="41">
        <f t="shared" si="48"/>
        <v>12.58445945945946</v>
      </c>
      <c r="AV72" s="41">
        <f t="shared" si="49"/>
        <v>0.21114864864864866</v>
      </c>
      <c r="AW72" s="41">
        <f t="shared" si="50"/>
        <v>99.99999999999997</v>
      </c>
      <c r="AX72" s="41">
        <f t="shared" si="51"/>
        <v>18.9893018018018</v>
      </c>
      <c r="AY72" s="41">
        <f t="shared" si="52"/>
        <v>4.800112612612613</v>
      </c>
      <c r="AZ72" s="41">
        <f t="shared" si="53"/>
        <v>60.67004504504504</v>
      </c>
      <c r="BA72" s="41">
        <f t="shared" si="54"/>
        <v>2.604166666666667</v>
      </c>
      <c r="BB72" s="41">
        <f t="shared" si="55"/>
        <v>0</v>
      </c>
      <c r="BC72" s="41">
        <f t="shared" si="56"/>
        <v>0.8445945945945946</v>
      </c>
      <c r="BD72" s="41">
        <f t="shared" si="57"/>
        <v>12.091779279279278</v>
      </c>
      <c r="BE72" s="24">
        <f t="shared" si="58"/>
        <v>100</v>
      </c>
      <c r="BF72" s="43"/>
      <c r="BG72" t="s">
        <v>154</v>
      </c>
      <c r="BH72" t="s">
        <v>97</v>
      </c>
      <c r="BI72" t="s">
        <v>163</v>
      </c>
      <c r="BJ72" s="25">
        <f t="shared" si="59"/>
        <v>28937</v>
      </c>
      <c r="BK72" s="25">
        <f t="shared" si="60"/>
        <v>7104</v>
      </c>
      <c r="BL72" s="24">
        <f t="shared" si="61"/>
        <v>24.87331081081081</v>
      </c>
      <c r="BM72" s="24">
        <f t="shared" si="62"/>
        <v>51.618806306306304</v>
      </c>
      <c r="BN72" s="24">
        <f t="shared" si="63"/>
        <v>12.091779279279278</v>
      </c>
    </row>
    <row r="73" spans="2:66" ht="15">
      <c r="B73" s="32" t="s">
        <v>92</v>
      </c>
      <c r="C73" s="32" t="s">
        <v>154</v>
      </c>
      <c r="D73" s="33" t="s">
        <v>97</v>
      </c>
      <c r="E73" s="33" t="s">
        <v>164</v>
      </c>
      <c r="F73" s="35">
        <v>7023</v>
      </c>
      <c r="G73" s="35">
        <v>1349</v>
      </c>
      <c r="H73" s="35">
        <v>1179</v>
      </c>
      <c r="I73" s="35">
        <v>16</v>
      </c>
      <c r="J73" s="35">
        <v>102</v>
      </c>
      <c r="K73" s="35">
        <v>45</v>
      </c>
      <c r="L73" s="35">
        <v>7</v>
      </c>
      <c r="M73" s="35">
        <f t="shared" si="33"/>
        <v>1349</v>
      </c>
      <c r="N73" s="35">
        <v>1151</v>
      </c>
      <c r="O73" s="35">
        <v>74</v>
      </c>
      <c r="P73" s="35">
        <v>44</v>
      </c>
      <c r="Q73" s="35">
        <v>0</v>
      </c>
      <c r="R73" s="35">
        <v>7</v>
      </c>
      <c r="S73" s="35">
        <v>72</v>
      </c>
      <c r="T73" s="44">
        <v>1</v>
      </c>
      <c r="U73" s="35">
        <f t="shared" si="34"/>
        <v>1349</v>
      </c>
      <c r="V73" s="35">
        <v>250</v>
      </c>
      <c r="W73" s="35">
        <v>263</v>
      </c>
      <c r="X73" s="35">
        <v>748</v>
      </c>
      <c r="Y73" s="35">
        <v>0</v>
      </c>
      <c r="Z73" s="35">
        <v>0</v>
      </c>
      <c r="AA73" s="35">
        <v>51</v>
      </c>
      <c r="AB73" s="35">
        <f>36+1</f>
        <v>37</v>
      </c>
      <c r="AC73" s="35">
        <f t="shared" si="35"/>
        <v>1349</v>
      </c>
      <c r="AD73" s="42"/>
      <c r="AE73" s="43"/>
      <c r="AF73" t="s">
        <v>154</v>
      </c>
      <c r="AG73" s="37" t="s">
        <v>97</v>
      </c>
      <c r="AH73" s="38" t="s">
        <v>164</v>
      </c>
      <c r="AI73" s="40">
        <f t="shared" si="36"/>
        <v>1349</v>
      </c>
      <c r="AJ73" s="41">
        <f t="shared" si="37"/>
        <v>87.39807264640474</v>
      </c>
      <c r="AK73" s="41">
        <f t="shared" si="38"/>
        <v>1.1860637509266123</v>
      </c>
      <c r="AL73" s="41">
        <f t="shared" si="39"/>
        <v>7.561156412157153</v>
      </c>
      <c r="AM73" s="41">
        <f t="shared" si="40"/>
        <v>3.3358042994810972</v>
      </c>
      <c r="AN73" s="41">
        <f t="shared" si="41"/>
        <v>0.5189028910303929</v>
      </c>
      <c r="AO73" s="41">
        <f t="shared" si="42"/>
        <v>99.99999999999999</v>
      </c>
      <c r="AP73" s="41">
        <f t="shared" si="43"/>
        <v>85.32246108228317</v>
      </c>
      <c r="AQ73" s="41">
        <f t="shared" si="44"/>
        <v>5.485544848035582</v>
      </c>
      <c r="AR73" s="41">
        <f t="shared" si="45"/>
        <v>3.261675315048184</v>
      </c>
      <c r="AS73" s="41">
        <f t="shared" si="46"/>
        <v>0</v>
      </c>
      <c r="AT73" s="41">
        <f t="shared" si="47"/>
        <v>0.5189028910303929</v>
      </c>
      <c r="AU73" s="41">
        <f t="shared" si="48"/>
        <v>5.337286879169755</v>
      </c>
      <c r="AV73" s="41">
        <f t="shared" si="49"/>
        <v>0.07412898443291327</v>
      </c>
      <c r="AW73" s="41">
        <f t="shared" si="50"/>
        <v>100</v>
      </c>
      <c r="AX73" s="41">
        <f t="shared" si="51"/>
        <v>18.532246108228318</v>
      </c>
      <c r="AY73" s="41">
        <f t="shared" si="52"/>
        <v>19.49592290585619</v>
      </c>
      <c r="AZ73" s="41">
        <f t="shared" si="53"/>
        <v>55.44848035581913</v>
      </c>
      <c r="BA73" s="41">
        <f t="shared" si="54"/>
        <v>0</v>
      </c>
      <c r="BB73" s="41">
        <f t="shared" si="55"/>
        <v>0</v>
      </c>
      <c r="BC73" s="41">
        <f t="shared" si="56"/>
        <v>3.7805782060785766</v>
      </c>
      <c r="BD73" s="41">
        <f t="shared" si="57"/>
        <v>2.742772424017791</v>
      </c>
      <c r="BE73" s="24">
        <f t="shared" si="58"/>
        <v>100</v>
      </c>
      <c r="BF73" s="43"/>
      <c r="BG73" t="s">
        <v>154</v>
      </c>
      <c r="BH73" t="s">
        <v>97</v>
      </c>
      <c r="BI73" t="s">
        <v>164</v>
      </c>
      <c r="BJ73" s="25">
        <f t="shared" si="59"/>
        <v>7023</v>
      </c>
      <c r="BK73" s="25">
        <f t="shared" si="60"/>
        <v>1349</v>
      </c>
      <c r="BL73" s="24">
        <f t="shared" si="61"/>
        <v>12.601927353595256</v>
      </c>
      <c r="BM73" s="24">
        <f t="shared" si="62"/>
        <v>14.677538917716827</v>
      </c>
      <c r="BN73" s="24">
        <f t="shared" si="63"/>
        <v>2.742772424017791</v>
      </c>
    </row>
    <row r="74" spans="2:66" ht="15">
      <c r="B74" s="32" t="s">
        <v>92</v>
      </c>
      <c r="C74" s="32" t="s">
        <v>154</v>
      </c>
      <c r="D74" s="33" t="s">
        <v>97</v>
      </c>
      <c r="E74" s="33" t="s">
        <v>165</v>
      </c>
      <c r="F74" s="35">
        <v>4505</v>
      </c>
      <c r="G74" s="35">
        <v>1058</v>
      </c>
      <c r="H74" s="35">
        <v>936</v>
      </c>
      <c r="I74" s="35">
        <v>45</v>
      </c>
      <c r="J74" s="35">
        <v>42</v>
      </c>
      <c r="K74" s="35">
        <v>35</v>
      </c>
      <c r="L74" s="35">
        <v>0</v>
      </c>
      <c r="M74" s="35">
        <f aca="true" t="shared" si="64" ref="M74:M101">+H74+I74+J74+K74+L74</f>
        <v>1058</v>
      </c>
      <c r="N74" s="35">
        <v>604</v>
      </c>
      <c r="O74" s="35">
        <v>44</v>
      </c>
      <c r="P74" s="35">
        <v>27</v>
      </c>
      <c r="Q74" s="35">
        <v>7</v>
      </c>
      <c r="R74" s="35">
        <v>284</v>
      </c>
      <c r="S74" s="35">
        <v>91</v>
      </c>
      <c r="T74" s="44">
        <v>1</v>
      </c>
      <c r="U74" s="35">
        <f aca="true" t="shared" si="65" ref="U74:U101">+N74+O74+P74+Q74+R74+S74+T74</f>
        <v>1058</v>
      </c>
      <c r="V74" s="35">
        <v>51</v>
      </c>
      <c r="W74" s="35">
        <v>117</v>
      </c>
      <c r="X74" s="35">
        <v>749</v>
      </c>
      <c r="Y74" s="35">
        <v>0</v>
      </c>
      <c r="Z74" s="35">
        <v>0</v>
      </c>
      <c r="AA74" s="35">
        <v>31</v>
      </c>
      <c r="AB74" s="44">
        <f>109+1</f>
        <v>110</v>
      </c>
      <c r="AC74" s="35">
        <f aca="true" t="shared" si="66" ref="AC74:AC101">+V74+W74+X74+Y74+Z74+AA74+AB74</f>
        <v>1058</v>
      </c>
      <c r="AD74" s="42"/>
      <c r="AE74" s="43"/>
      <c r="AF74" t="s">
        <v>154</v>
      </c>
      <c r="AG74" s="37" t="s">
        <v>97</v>
      </c>
      <c r="AH74" s="38" t="s">
        <v>165</v>
      </c>
      <c r="AI74" s="40">
        <f aca="true" t="shared" si="67" ref="AI74:AI97">+G74</f>
        <v>1058</v>
      </c>
      <c r="AJ74" s="41">
        <f aca="true" t="shared" si="68" ref="AJ74:AJ101">+H74/$M74*100</f>
        <v>88.468809073724</v>
      </c>
      <c r="AK74" s="41">
        <f aca="true" t="shared" si="69" ref="AK74:AK101">+I74/$M74*100</f>
        <v>4.253308128544423</v>
      </c>
      <c r="AL74" s="41">
        <f aca="true" t="shared" si="70" ref="AL74:AL101">+J74/$M74*100</f>
        <v>3.9697542533081283</v>
      </c>
      <c r="AM74" s="41">
        <f aca="true" t="shared" si="71" ref="AM74:AM101">+K74/$M74*100</f>
        <v>3.30812854442344</v>
      </c>
      <c r="AN74" s="41">
        <f aca="true" t="shared" si="72" ref="AN74:AN101">+L74/$M74*100</f>
        <v>0</v>
      </c>
      <c r="AO74" s="41">
        <f aca="true" t="shared" si="73" ref="AO74:AO101">+SUM(AJ74:AN74)</f>
        <v>99.99999999999999</v>
      </c>
      <c r="AP74" s="41">
        <f aca="true" t="shared" si="74" ref="AP74:AP101">+N74/$U74*100</f>
        <v>57.088846880907376</v>
      </c>
      <c r="AQ74" s="41">
        <f aca="true" t="shared" si="75" ref="AQ74:AQ101">+O74/$U74*100</f>
        <v>4.158790170132325</v>
      </c>
      <c r="AR74" s="41">
        <f aca="true" t="shared" si="76" ref="AR74:AR101">+P74/$U74*100</f>
        <v>2.551984877126654</v>
      </c>
      <c r="AS74" s="41">
        <f aca="true" t="shared" si="77" ref="AS74:AS101">+Q74/$U74*100</f>
        <v>0.6616257088846881</v>
      </c>
      <c r="AT74" s="41">
        <f aca="true" t="shared" si="78" ref="AT74:AT101">+R74/$U74*100</f>
        <v>26.84310018903592</v>
      </c>
      <c r="AU74" s="41">
        <f aca="true" t="shared" si="79" ref="AU74:AU101">+S74/$U74*100</f>
        <v>8.601134215500945</v>
      </c>
      <c r="AV74" s="41">
        <f aca="true" t="shared" si="80" ref="AV74:AV101">+T74/$U74*100</f>
        <v>0.0945179584120983</v>
      </c>
      <c r="AW74" s="41">
        <f aca="true" t="shared" si="81" ref="AW74:AW101">+SUM(AP74:AV74)</f>
        <v>100.00000000000001</v>
      </c>
      <c r="AX74" s="41">
        <f aca="true" t="shared" si="82" ref="AX74:AX101">+V74/$AC74*100</f>
        <v>4.8204158790170135</v>
      </c>
      <c r="AY74" s="41">
        <f aca="true" t="shared" si="83" ref="AY74:AY101">+W74/$AC74*100</f>
        <v>11.0586011342155</v>
      </c>
      <c r="AZ74" s="41">
        <f aca="true" t="shared" si="84" ref="AZ74:AZ101">+X74/$AC74*100</f>
        <v>70.79395085066163</v>
      </c>
      <c r="BA74" s="41">
        <f aca="true" t="shared" si="85" ref="BA74:BA101">+Y74/$AC74*100</f>
        <v>0</v>
      </c>
      <c r="BB74" s="41">
        <f aca="true" t="shared" si="86" ref="BB74:BB101">+Z74/$AC74*100</f>
        <v>0</v>
      </c>
      <c r="BC74" s="41">
        <f aca="true" t="shared" si="87" ref="BC74:BC101">+AA74/$AC74*100</f>
        <v>2.9300567107750473</v>
      </c>
      <c r="BD74" s="41">
        <f aca="true" t="shared" si="88" ref="BD74:BD101">+AB74/$AC74*100</f>
        <v>10.396975425330812</v>
      </c>
      <c r="BE74" s="24">
        <f aca="true" t="shared" si="89" ref="BE74:BE97">+SUM(AX74:BD74)</f>
        <v>100</v>
      </c>
      <c r="BF74" s="43"/>
      <c r="BG74" t="s">
        <v>154</v>
      </c>
      <c r="BH74" t="s">
        <v>97</v>
      </c>
      <c r="BI74" t="s">
        <v>165</v>
      </c>
      <c r="BJ74" s="25">
        <f aca="true" t="shared" si="90" ref="BJ74:BJ101">+F74</f>
        <v>4505</v>
      </c>
      <c r="BK74" s="25">
        <f aca="true" t="shared" si="91" ref="BK74:BK101">+G74</f>
        <v>1058</v>
      </c>
      <c r="BL74" s="24">
        <f aca="true" t="shared" si="92" ref="BL74:BL101">AK74+AL74+AM74+AN74</f>
        <v>11.53119092627599</v>
      </c>
      <c r="BM74" s="24">
        <f aca="true" t="shared" si="93" ref="BM74:BM101">+AQ74+AR74+AS74+AT74+AU74+AV74</f>
        <v>42.91115311909263</v>
      </c>
      <c r="BN74" s="24">
        <f aca="true" t="shared" si="94" ref="BN74:BN101">+BD74</f>
        <v>10.396975425330812</v>
      </c>
    </row>
    <row r="75" spans="2:66" ht="15">
      <c r="B75" s="32" t="s">
        <v>92</v>
      </c>
      <c r="C75" s="32" t="s">
        <v>154</v>
      </c>
      <c r="D75" s="33" t="s">
        <v>97</v>
      </c>
      <c r="E75" s="33" t="s">
        <v>166</v>
      </c>
      <c r="F75" s="35">
        <v>4784</v>
      </c>
      <c r="G75" s="35">
        <v>1188</v>
      </c>
      <c r="H75" s="35">
        <v>1062</v>
      </c>
      <c r="I75" s="35">
        <v>37</v>
      </c>
      <c r="J75" s="35">
        <v>50</v>
      </c>
      <c r="K75" s="35">
        <v>39</v>
      </c>
      <c r="L75" s="35">
        <v>0</v>
      </c>
      <c r="M75" s="35">
        <f t="shared" si="64"/>
        <v>1188</v>
      </c>
      <c r="N75" s="35">
        <v>657</v>
      </c>
      <c r="O75" s="35">
        <v>94</v>
      </c>
      <c r="P75" s="35">
        <v>15</v>
      </c>
      <c r="Q75" s="35">
        <v>0</v>
      </c>
      <c r="R75" s="35">
        <v>282</v>
      </c>
      <c r="S75" s="35">
        <v>139</v>
      </c>
      <c r="T75" s="44">
        <v>1</v>
      </c>
      <c r="U75" s="35">
        <f t="shared" si="65"/>
        <v>1188</v>
      </c>
      <c r="V75" s="35">
        <v>25</v>
      </c>
      <c r="W75" s="35">
        <v>173</v>
      </c>
      <c r="X75" s="35">
        <v>876</v>
      </c>
      <c r="Y75" s="35">
        <v>0</v>
      </c>
      <c r="Z75" s="35">
        <v>0</v>
      </c>
      <c r="AA75" s="35">
        <v>18</v>
      </c>
      <c r="AB75" s="35">
        <v>96</v>
      </c>
      <c r="AC75" s="35">
        <f t="shared" si="66"/>
        <v>1188</v>
      </c>
      <c r="AD75" s="42"/>
      <c r="AE75" s="43"/>
      <c r="AF75" t="s">
        <v>154</v>
      </c>
      <c r="AG75" s="37" t="s">
        <v>97</v>
      </c>
      <c r="AH75" s="38" t="s">
        <v>166</v>
      </c>
      <c r="AI75" s="40">
        <f t="shared" si="67"/>
        <v>1188</v>
      </c>
      <c r="AJ75" s="41">
        <f t="shared" si="68"/>
        <v>89.39393939393939</v>
      </c>
      <c r="AK75" s="41">
        <f t="shared" si="69"/>
        <v>3.1144781144781146</v>
      </c>
      <c r="AL75" s="41">
        <f t="shared" si="70"/>
        <v>4.208754208754209</v>
      </c>
      <c r="AM75" s="41">
        <f t="shared" si="71"/>
        <v>3.2828282828282833</v>
      </c>
      <c r="AN75" s="41">
        <f t="shared" si="72"/>
        <v>0</v>
      </c>
      <c r="AO75" s="41">
        <f t="shared" si="73"/>
        <v>100</v>
      </c>
      <c r="AP75" s="41">
        <f t="shared" si="74"/>
        <v>55.3030303030303</v>
      </c>
      <c r="AQ75" s="41">
        <f t="shared" si="75"/>
        <v>7.912457912457913</v>
      </c>
      <c r="AR75" s="41">
        <f t="shared" si="76"/>
        <v>1.2626262626262625</v>
      </c>
      <c r="AS75" s="41">
        <f t="shared" si="77"/>
        <v>0</v>
      </c>
      <c r="AT75" s="41">
        <f t="shared" si="78"/>
        <v>23.737373737373737</v>
      </c>
      <c r="AU75" s="41">
        <f t="shared" si="79"/>
        <v>11.700336700336699</v>
      </c>
      <c r="AV75" s="41">
        <f t="shared" si="80"/>
        <v>0.08417508417508417</v>
      </c>
      <c r="AW75" s="41">
        <f t="shared" si="81"/>
        <v>99.99999999999997</v>
      </c>
      <c r="AX75" s="41">
        <f t="shared" si="82"/>
        <v>2.1043771043771047</v>
      </c>
      <c r="AY75" s="41">
        <f t="shared" si="83"/>
        <v>14.562289562289562</v>
      </c>
      <c r="AZ75" s="41">
        <f t="shared" si="84"/>
        <v>73.73737373737373</v>
      </c>
      <c r="BA75" s="41">
        <f t="shared" si="85"/>
        <v>0</v>
      </c>
      <c r="BB75" s="41">
        <f t="shared" si="86"/>
        <v>0</v>
      </c>
      <c r="BC75" s="41">
        <f t="shared" si="87"/>
        <v>1.5151515151515151</v>
      </c>
      <c r="BD75" s="41">
        <f t="shared" si="88"/>
        <v>8.080808080808081</v>
      </c>
      <c r="BE75" s="24">
        <f t="shared" si="89"/>
        <v>100</v>
      </c>
      <c r="BF75" s="43"/>
      <c r="BG75" t="s">
        <v>154</v>
      </c>
      <c r="BH75" t="s">
        <v>97</v>
      </c>
      <c r="BI75" t="s">
        <v>166</v>
      </c>
      <c r="BJ75" s="25">
        <f t="shared" si="90"/>
        <v>4784</v>
      </c>
      <c r="BK75" s="25">
        <f t="shared" si="91"/>
        <v>1188</v>
      </c>
      <c r="BL75" s="24">
        <f t="shared" si="92"/>
        <v>10.606060606060607</v>
      </c>
      <c r="BM75" s="24">
        <f t="shared" si="93"/>
        <v>44.696969696969695</v>
      </c>
      <c r="BN75" s="24">
        <f t="shared" si="94"/>
        <v>8.080808080808081</v>
      </c>
    </row>
    <row r="76" spans="2:66" ht="15">
      <c r="B76" s="32" t="s">
        <v>92</v>
      </c>
      <c r="C76" s="32" t="s">
        <v>154</v>
      </c>
      <c r="D76" s="33" t="s">
        <v>97</v>
      </c>
      <c r="E76" s="33" t="s">
        <v>167</v>
      </c>
      <c r="F76" s="35">
        <v>14234</v>
      </c>
      <c r="G76" s="35">
        <v>3285</v>
      </c>
      <c r="H76" s="35">
        <v>2750</v>
      </c>
      <c r="I76" s="35">
        <v>170</v>
      </c>
      <c r="J76" s="35">
        <v>261</v>
      </c>
      <c r="K76" s="35">
        <v>91</v>
      </c>
      <c r="L76" s="35">
        <v>13</v>
      </c>
      <c r="M76" s="35">
        <f t="shared" si="64"/>
        <v>3285</v>
      </c>
      <c r="N76" s="35">
        <v>1367</v>
      </c>
      <c r="O76" s="35">
        <v>130</v>
      </c>
      <c r="P76" s="35">
        <v>326</v>
      </c>
      <c r="Q76" s="35">
        <v>13</v>
      </c>
      <c r="R76" s="35">
        <v>952</v>
      </c>
      <c r="S76" s="35">
        <v>496</v>
      </c>
      <c r="T76" s="44">
        <v>1</v>
      </c>
      <c r="U76" s="35">
        <f t="shared" si="65"/>
        <v>3285</v>
      </c>
      <c r="V76" s="35">
        <v>91</v>
      </c>
      <c r="W76" s="35">
        <v>137</v>
      </c>
      <c r="X76" s="35">
        <v>2516</v>
      </c>
      <c r="Y76" s="35">
        <v>0</v>
      </c>
      <c r="Z76" s="35">
        <v>19</v>
      </c>
      <c r="AA76" s="35">
        <v>104</v>
      </c>
      <c r="AB76" s="44">
        <f>417+1</f>
        <v>418</v>
      </c>
      <c r="AC76" s="35">
        <f t="shared" si="66"/>
        <v>3285</v>
      </c>
      <c r="AD76" s="42"/>
      <c r="AE76" s="42"/>
      <c r="AF76" t="s">
        <v>154</v>
      </c>
      <c r="AG76" s="37" t="s">
        <v>97</v>
      </c>
      <c r="AH76" s="38" t="s">
        <v>167</v>
      </c>
      <c r="AI76" s="40">
        <f t="shared" si="67"/>
        <v>3285</v>
      </c>
      <c r="AJ76" s="41">
        <f t="shared" si="68"/>
        <v>83.71385083713851</v>
      </c>
      <c r="AK76" s="41">
        <f t="shared" si="69"/>
        <v>5.175038051750381</v>
      </c>
      <c r="AL76" s="41">
        <f t="shared" si="70"/>
        <v>7.9452054794520555</v>
      </c>
      <c r="AM76" s="41">
        <f t="shared" si="71"/>
        <v>2.7701674277016743</v>
      </c>
      <c r="AN76" s="41">
        <f t="shared" si="72"/>
        <v>0.3957382039573821</v>
      </c>
      <c r="AO76" s="41">
        <f t="shared" si="73"/>
        <v>100</v>
      </c>
      <c r="AP76" s="41">
        <f t="shared" si="74"/>
        <v>41.61339421613394</v>
      </c>
      <c r="AQ76" s="41">
        <f t="shared" si="75"/>
        <v>3.95738203957382</v>
      </c>
      <c r="AR76" s="41">
        <f t="shared" si="76"/>
        <v>9.923896499238966</v>
      </c>
      <c r="AS76" s="41">
        <f t="shared" si="77"/>
        <v>0.3957382039573821</v>
      </c>
      <c r="AT76" s="41">
        <f t="shared" si="78"/>
        <v>28.98021308980213</v>
      </c>
      <c r="AU76" s="41">
        <f t="shared" si="79"/>
        <v>15.098934550989346</v>
      </c>
      <c r="AV76" s="41">
        <f t="shared" si="80"/>
        <v>0.030441400304414005</v>
      </c>
      <c r="AW76" s="41">
        <f t="shared" si="81"/>
        <v>99.99999999999999</v>
      </c>
      <c r="AX76" s="41">
        <f t="shared" si="82"/>
        <v>2.7701674277016743</v>
      </c>
      <c r="AY76" s="41">
        <f t="shared" si="83"/>
        <v>4.170471841704718</v>
      </c>
      <c r="AZ76" s="41">
        <f t="shared" si="84"/>
        <v>76.59056316590564</v>
      </c>
      <c r="BA76" s="41">
        <f t="shared" si="85"/>
        <v>0</v>
      </c>
      <c r="BB76" s="41">
        <f t="shared" si="86"/>
        <v>0.578386605783866</v>
      </c>
      <c r="BC76" s="41">
        <f t="shared" si="87"/>
        <v>3.1659056316590566</v>
      </c>
      <c r="BD76" s="41">
        <f t="shared" si="88"/>
        <v>12.724505327245053</v>
      </c>
      <c r="BE76" s="24">
        <f t="shared" si="89"/>
        <v>100</v>
      </c>
      <c r="BF76" s="42"/>
      <c r="BG76" t="s">
        <v>154</v>
      </c>
      <c r="BH76" t="s">
        <v>97</v>
      </c>
      <c r="BI76" t="s">
        <v>167</v>
      </c>
      <c r="BJ76" s="25">
        <f t="shared" si="90"/>
        <v>14234</v>
      </c>
      <c r="BK76" s="25">
        <f t="shared" si="91"/>
        <v>3285</v>
      </c>
      <c r="BL76" s="24">
        <f t="shared" si="92"/>
        <v>16.28614916286149</v>
      </c>
      <c r="BM76" s="24">
        <f t="shared" si="93"/>
        <v>58.38660578386606</v>
      </c>
      <c r="BN76" s="24">
        <f t="shared" si="94"/>
        <v>12.724505327245053</v>
      </c>
    </row>
    <row r="77" spans="2:66" ht="15">
      <c r="B77" s="32" t="s">
        <v>92</v>
      </c>
      <c r="C77" s="32" t="s">
        <v>154</v>
      </c>
      <c r="D77" s="33" t="s">
        <v>168</v>
      </c>
      <c r="E77" s="33" t="s">
        <v>169</v>
      </c>
      <c r="F77" s="35">
        <v>16360</v>
      </c>
      <c r="G77" s="35">
        <v>3734</v>
      </c>
      <c r="H77" s="35">
        <v>2888</v>
      </c>
      <c r="I77" s="35">
        <v>279</v>
      </c>
      <c r="J77" s="35">
        <v>440</v>
      </c>
      <c r="K77" s="35">
        <v>125</v>
      </c>
      <c r="L77" s="35">
        <v>0</v>
      </c>
      <c r="M77" s="35">
        <f t="shared" si="64"/>
        <v>3732</v>
      </c>
      <c r="N77" s="35">
        <v>2390</v>
      </c>
      <c r="O77" s="35">
        <v>208</v>
      </c>
      <c r="P77" s="35">
        <v>339</v>
      </c>
      <c r="Q77" s="35">
        <v>94</v>
      </c>
      <c r="R77" s="35">
        <v>203</v>
      </c>
      <c r="S77" s="35">
        <v>470</v>
      </c>
      <c r="T77" s="44">
        <f>31-3</f>
        <v>28</v>
      </c>
      <c r="U77" s="35">
        <f t="shared" si="65"/>
        <v>3732</v>
      </c>
      <c r="V77" s="35">
        <v>414</v>
      </c>
      <c r="W77" s="35">
        <v>170</v>
      </c>
      <c r="X77" s="35">
        <v>2539</v>
      </c>
      <c r="Y77" s="35">
        <v>50</v>
      </c>
      <c r="Z77" s="35">
        <v>0</v>
      </c>
      <c r="AA77" s="35">
        <v>180</v>
      </c>
      <c r="AB77" s="35">
        <f>382-3</f>
        <v>379</v>
      </c>
      <c r="AC77" s="35">
        <f t="shared" si="66"/>
        <v>3732</v>
      </c>
      <c r="AD77" s="42"/>
      <c r="AF77" t="s">
        <v>154</v>
      </c>
      <c r="AG77" s="37" t="s">
        <v>168</v>
      </c>
      <c r="AH77" s="38" t="s">
        <v>169</v>
      </c>
      <c r="AI77" s="40">
        <f t="shared" si="67"/>
        <v>3734</v>
      </c>
      <c r="AJ77" s="41">
        <f t="shared" si="68"/>
        <v>77.38478027867095</v>
      </c>
      <c r="AK77" s="41">
        <f t="shared" si="69"/>
        <v>7.475884244372991</v>
      </c>
      <c r="AL77" s="41">
        <f t="shared" si="70"/>
        <v>11.789924973204716</v>
      </c>
      <c r="AM77" s="41">
        <f t="shared" si="71"/>
        <v>3.34941050375134</v>
      </c>
      <c r="AN77" s="41">
        <f t="shared" si="72"/>
        <v>0</v>
      </c>
      <c r="AO77" s="41">
        <f t="shared" si="73"/>
        <v>100</v>
      </c>
      <c r="AP77" s="41">
        <f t="shared" si="74"/>
        <v>64.04072883172562</v>
      </c>
      <c r="AQ77" s="41">
        <f t="shared" si="75"/>
        <v>5.57341907824223</v>
      </c>
      <c r="AR77" s="41">
        <f t="shared" si="76"/>
        <v>9.083601286173632</v>
      </c>
      <c r="AS77" s="41">
        <f t="shared" si="77"/>
        <v>2.5187566988210075</v>
      </c>
      <c r="AT77" s="41">
        <f t="shared" si="78"/>
        <v>5.439442658092176</v>
      </c>
      <c r="AU77" s="41">
        <f t="shared" si="79"/>
        <v>12.593783494105038</v>
      </c>
      <c r="AV77" s="41">
        <f t="shared" si="80"/>
        <v>0.7502679528403001</v>
      </c>
      <c r="AW77" s="41">
        <f t="shared" si="81"/>
        <v>100</v>
      </c>
      <c r="AX77" s="41">
        <f t="shared" si="82"/>
        <v>11.093247588424438</v>
      </c>
      <c r="AY77" s="41">
        <f t="shared" si="83"/>
        <v>4.555198285101822</v>
      </c>
      <c r="AZ77" s="41">
        <f t="shared" si="84"/>
        <v>68.03322615219722</v>
      </c>
      <c r="BA77" s="41">
        <f t="shared" si="85"/>
        <v>1.339764201500536</v>
      </c>
      <c r="BB77" s="41">
        <f t="shared" si="86"/>
        <v>0</v>
      </c>
      <c r="BC77" s="41">
        <f t="shared" si="87"/>
        <v>4.823151125401929</v>
      </c>
      <c r="BD77" s="41">
        <f t="shared" si="88"/>
        <v>10.155412647374062</v>
      </c>
      <c r="BE77" s="24">
        <f t="shared" si="89"/>
        <v>100</v>
      </c>
      <c r="BG77" t="s">
        <v>154</v>
      </c>
      <c r="BH77" t="s">
        <v>168</v>
      </c>
      <c r="BI77" t="s">
        <v>169</v>
      </c>
      <c r="BJ77" s="25">
        <f t="shared" si="90"/>
        <v>16360</v>
      </c>
      <c r="BK77" s="25">
        <f t="shared" si="91"/>
        <v>3734</v>
      </c>
      <c r="BL77" s="24">
        <f t="shared" si="92"/>
        <v>22.615219721329048</v>
      </c>
      <c r="BM77" s="24">
        <f t="shared" si="93"/>
        <v>35.959271168274384</v>
      </c>
      <c r="BN77" s="24">
        <f t="shared" si="94"/>
        <v>10.155412647374062</v>
      </c>
    </row>
    <row r="78" spans="2:66" ht="14.25">
      <c r="B78" s="32" t="s">
        <v>92</v>
      </c>
      <c r="C78" s="32" t="s">
        <v>154</v>
      </c>
      <c r="D78" s="33" t="s">
        <v>170</v>
      </c>
      <c r="E78" s="33" t="s">
        <v>171</v>
      </c>
      <c r="F78" s="35">
        <v>22809</v>
      </c>
      <c r="G78" s="35">
        <v>3694</v>
      </c>
      <c r="H78" s="35">
        <v>2961</v>
      </c>
      <c r="I78" s="35">
        <v>321</v>
      </c>
      <c r="J78" s="35">
        <v>393</v>
      </c>
      <c r="K78" s="35">
        <v>18</v>
      </c>
      <c r="L78" s="35">
        <v>0</v>
      </c>
      <c r="M78" s="35">
        <f t="shared" si="64"/>
        <v>3693</v>
      </c>
      <c r="N78" s="35">
        <v>1762</v>
      </c>
      <c r="O78" s="35">
        <v>173</v>
      </c>
      <c r="P78" s="35">
        <v>219</v>
      </c>
      <c r="Q78" s="35">
        <v>16</v>
      </c>
      <c r="R78" s="35">
        <v>1147</v>
      </c>
      <c r="S78" s="35">
        <f>377-1</f>
        <v>376</v>
      </c>
      <c r="T78" s="35">
        <v>0</v>
      </c>
      <c r="U78" s="35">
        <f t="shared" si="65"/>
        <v>3693</v>
      </c>
      <c r="V78" s="35">
        <v>319</v>
      </c>
      <c r="W78" s="35">
        <v>299</v>
      </c>
      <c r="X78" s="35">
        <v>2356</v>
      </c>
      <c r="Y78" s="35">
        <v>32</v>
      </c>
      <c r="Z78" s="35">
        <v>16</v>
      </c>
      <c r="AA78" s="35">
        <v>154</v>
      </c>
      <c r="AB78" s="35">
        <f>519-2</f>
        <v>517</v>
      </c>
      <c r="AC78" s="35">
        <f t="shared" si="66"/>
        <v>3693</v>
      </c>
      <c r="AD78" s="42"/>
      <c r="AF78" t="s">
        <v>154</v>
      </c>
      <c r="AG78" s="37" t="s">
        <v>170</v>
      </c>
      <c r="AH78" s="38" t="s">
        <v>171</v>
      </c>
      <c r="AI78" s="40">
        <f t="shared" si="67"/>
        <v>3694</v>
      </c>
      <c r="AJ78" s="41">
        <f t="shared" si="68"/>
        <v>80.17871649065799</v>
      </c>
      <c r="AK78" s="41">
        <f t="shared" si="69"/>
        <v>8.692120227457352</v>
      </c>
      <c r="AL78" s="41">
        <f t="shared" si="70"/>
        <v>10.641754670999187</v>
      </c>
      <c r="AM78" s="41">
        <f t="shared" si="71"/>
        <v>0.487408610885459</v>
      </c>
      <c r="AN78" s="41">
        <f t="shared" si="72"/>
        <v>0</v>
      </c>
      <c r="AO78" s="41">
        <f t="shared" si="73"/>
        <v>99.99999999999999</v>
      </c>
      <c r="AP78" s="41">
        <f t="shared" si="74"/>
        <v>47.711887354454376</v>
      </c>
      <c r="AQ78" s="41">
        <f t="shared" si="75"/>
        <v>4.684538315732468</v>
      </c>
      <c r="AR78" s="41">
        <f t="shared" si="76"/>
        <v>5.930138099106418</v>
      </c>
      <c r="AS78" s="41">
        <f t="shared" si="77"/>
        <v>0.4332520985648524</v>
      </c>
      <c r="AT78" s="41">
        <f t="shared" si="78"/>
        <v>31.05875981586786</v>
      </c>
      <c r="AU78" s="41">
        <f t="shared" si="79"/>
        <v>10.181424316274033</v>
      </c>
      <c r="AV78" s="41">
        <f t="shared" si="80"/>
        <v>0</v>
      </c>
      <c r="AW78" s="41">
        <f t="shared" si="81"/>
        <v>100</v>
      </c>
      <c r="AX78" s="41">
        <f t="shared" si="82"/>
        <v>8.637963715136745</v>
      </c>
      <c r="AY78" s="41">
        <f t="shared" si="83"/>
        <v>8.09639859193068</v>
      </c>
      <c r="AZ78" s="41">
        <f t="shared" si="84"/>
        <v>63.79637151367452</v>
      </c>
      <c r="BA78" s="41">
        <f t="shared" si="85"/>
        <v>0.8665041971297048</v>
      </c>
      <c r="BB78" s="41">
        <f t="shared" si="86"/>
        <v>0.4332520985648524</v>
      </c>
      <c r="BC78" s="41">
        <f t="shared" si="87"/>
        <v>4.170051448686705</v>
      </c>
      <c r="BD78" s="41">
        <f t="shared" si="88"/>
        <v>13.999458434876793</v>
      </c>
      <c r="BE78" s="24">
        <f t="shared" si="89"/>
        <v>100</v>
      </c>
      <c r="BG78" t="s">
        <v>154</v>
      </c>
      <c r="BH78" t="s">
        <v>170</v>
      </c>
      <c r="BI78" t="s">
        <v>171</v>
      </c>
      <c r="BJ78" s="25">
        <f t="shared" si="90"/>
        <v>22809</v>
      </c>
      <c r="BK78" s="25">
        <f t="shared" si="91"/>
        <v>3694</v>
      </c>
      <c r="BL78" s="24">
        <f t="shared" si="92"/>
        <v>19.821283509342</v>
      </c>
      <c r="BM78" s="24">
        <f t="shared" si="93"/>
        <v>52.28811264554563</v>
      </c>
      <c r="BN78" s="24">
        <f t="shared" si="94"/>
        <v>13.999458434876793</v>
      </c>
    </row>
    <row r="79" spans="2:66" ht="14.25">
      <c r="B79" s="32" t="s">
        <v>92</v>
      </c>
      <c r="C79" s="32" t="s">
        <v>154</v>
      </c>
      <c r="D79" s="33" t="s">
        <v>137</v>
      </c>
      <c r="E79" s="33" t="s">
        <v>172</v>
      </c>
      <c r="F79" s="34">
        <v>16448</v>
      </c>
      <c r="G79" s="34">
        <v>3237</v>
      </c>
      <c r="H79" s="34">
        <v>1441</v>
      </c>
      <c r="I79" s="34">
        <v>93</v>
      </c>
      <c r="J79" s="34">
        <v>1604</v>
      </c>
      <c r="K79" s="34">
        <v>58</v>
      </c>
      <c r="L79" s="34">
        <v>43</v>
      </c>
      <c r="M79" s="35">
        <f t="shared" si="64"/>
        <v>3239</v>
      </c>
      <c r="N79" s="34">
        <v>550</v>
      </c>
      <c r="O79" s="34">
        <v>46</v>
      </c>
      <c r="P79" s="34">
        <v>54</v>
      </c>
      <c r="Q79" s="34">
        <v>0</v>
      </c>
      <c r="R79" s="34">
        <v>1017</v>
      </c>
      <c r="S79" s="34">
        <v>1572</v>
      </c>
      <c r="T79" s="34">
        <v>0</v>
      </c>
      <c r="U79" s="35">
        <f t="shared" si="65"/>
        <v>3239</v>
      </c>
      <c r="V79" s="35">
        <v>0</v>
      </c>
      <c r="W79" s="35">
        <v>381</v>
      </c>
      <c r="X79" s="35">
        <v>1167</v>
      </c>
      <c r="Y79" s="35">
        <v>0</v>
      </c>
      <c r="Z79" s="35">
        <v>0</v>
      </c>
      <c r="AA79" s="35">
        <v>22</v>
      </c>
      <c r="AB79" s="35">
        <v>1669</v>
      </c>
      <c r="AC79" s="35">
        <f t="shared" si="66"/>
        <v>3239</v>
      </c>
      <c r="AD79" s="42"/>
      <c r="AF79" t="s">
        <v>154</v>
      </c>
      <c r="AG79" s="37" t="s">
        <v>137</v>
      </c>
      <c r="AH79" s="38" t="s">
        <v>172</v>
      </c>
      <c r="AI79" s="40">
        <f t="shared" si="67"/>
        <v>3237</v>
      </c>
      <c r="AJ79" s="41">
        <f t="shared" si="68"/>
        <v>44.48903982710713</v>
      </c>
      <c r="AK79" s="41">
        <f t="shared" si="69"/>
        <v>2.8712565606668723</v>
      </c>
      <c r="AL79" s="41">
        <f t="shared" si="70"/>
        <v>49.52145723988885</v>
      </c>
      <c r="AM79" s="41">
        <f t="shared" si="71"/>
        <v>1.7906761346094473</v>
      </c>
      <c r="AN79" s="41">
        <f t="shared" si="72"/>
        <v>1.3275702377276937</v>
      </c>
      <c r="AO79" s="41">
        <f t="shared" si="73"/>
        <v>99.99999999999999</v>
      </c>
      <c r="AP79" s="41">
        <f t="shared" si="74"/>
        <v>16.980549552330967</v>
      </c>
      <c r="AQ79" s="41">
        <f t="shared" si="75"/>
        <v>1.4201914171040446</v>
      </c>
      <c r="AR79" s="41">
        <f t="shared" si="76"/>
        <v>1.6671812287743129</v>
      </c>
      <c r="AS79" s="41">
        <f t="shared" si="77"/>
        <v>0</v>
      </c>
      <c r="AT79" s="41">
        <f t="shared" si="78"/>
        <v>31.398579808582895</v>
      </c>
      <c r="AU79" s="41">
        <f t="shared" si="79"/>
        <v>48.53349799320778</v>
      </c>
      <c r="AV79" s="41">
        <f t="shared" si="80"/>
        <v>0</v>
      </c>
      <c r="AW79" s="41">
        <f t="shared" si="81"/>
        <v>100</v>
      </c>
      <c r="AX79" s="41">
        <f t="shared" si="82"/>
        <v>0</v>
      </c>
      <c r="AY79" s="41">
        <f t="shared" si="83"/>
        <v>11.762889780796543</v>
      </c>
      <c r="AZ79" s="41">
        <f t="shared" si="84"/>
        <v>36.02963877740043</v>
      </c>
      <c r="BA79" s="41">
        <f t="shared" si="85"/>
        <v>0</v>
      </c>
      <c r="BB79" s="41">
        <f t="shared" si="86"/>
        <v>0</v>
      </c>
      <c r="BC79" s="41">
        <f t="shared" si="87"/>
        <v>0.6792219820932387</v>
      </c>
      <c r="BD79" s="41">
        <f t="shared" si="88"/>
        <v>51.528249459709784</v>
      </c>
      <c r="BE79" s="24">
        <f t="shared" si="89"/>
        <v>100</v>
      </c>
      <c r="BG79" t="s">
        <v>154</v>
      </c>
      <c r="BH79" t="s">
        <v>137</v>
      </c>
      <c r="BI79" t="s">
        <v>172</v>
      </c>
      <c r="BJ79" s="25">
        <f t="shared" si="90"/>
        <v>16448</v>
      </c>
      <c r="BK79" s="25">
        <f t="shared" si="91"/>
        <v>3237</v>
      </c>
      <c r="BL79" s="24">
        <f t="shared" si="92"/>
        <v>55.510960172892865</v>
      </c>
      <c r="BM79" s="24">
        <f t="shared" si="93"/>
        <v>83.01945044766904</v>
      </c>
      <c r="BN79" s="24">
        <f t="shared" si="94"/>
        <v>51.528249459709784</v>
      </c>
    </row>
    <row r="80" spans="2:66" ht="14.25">
      <c r="B80" s="32" t="s">
        <v>92</v>
      </c>
      <c r="C80" s="32" t="s">
        <v>154</v>
      </c>
      <c r="D80" s="33" t="s">
        <v>137</v>
      </c>
      <c r="E80" s="33" t="s">
        <v>173</v>
      </c>
      <c r="F80" s="34">
        <v>5434</v>
      </c>
      <c r="G80" s="34">
        <v>1293</v>
      </c>
      <c r="H80" s="34">
        <v>1147</v>
      </c>
      <c r="I80" s="34">
        <v>47</v>
      </c>
      <c r="J80" s="34">
        <v>100</v>
      </c>
      <c r="K80" s="34">
        <v>0</v>
      </c>
      <c r="L80" s="34">
        <v>0</v>
      </c>
      <c r="M80" s="35">
        <f t="shared" si="64"/>
        <v>1294</v>
      </c>
      <c r="N80" s="34">
        <v>231</v>
      </c>
      <c r="O80" s="34">
        <v>46</v>
      </c>
      <c r="P80" s="34">
        <v>69</v>
      </c>
      <c r="Q80" s="34">
        <v>31</v>
      </c>
      <c r="R80" s="34">
        <v>709</v>
      </c>
      <c r="S80" s="34">
        <v>200</v>
      </c>
      <c r="T80" s="34">
        <v>8</v>
      </c>
      <c r="U80" s="35">
        <f t="shared" si="65"/>
        <v>1294</v>
      </c>
      <c r="V80" s="35">
        <v>8</v>
      </c>
      <c r="W80" s="35">
        <v>46</v>
      </c>
      <c r="X80" s="35">
        <v>939</v>
      </c>
      <c r="Y80" s="35">
        <v>8</v>
      </c>
      <c r="Z80" s="35">
        <v>8</v>
      </c>
      <c r="AA80" s="35">
        <v>38</v>
      </c>
      <c r="AB80" s="35">
        <v>247</v>
      </c>
      <c r="AC80" s="35">
        <f t="shared" si="66"/>
        <v>1294</v>
      </c>
      <c r="AD80" s="42"/>
      <c r="AF80" t="s">
        <v>154</v>
      </c>
      <c r="AG80" s="37" t="s">
        <v>137</v>
      </c>
      <c r="AH80" s="38" t="s">
        <v>173</v>
      </c>
      <c r="AI80" s="40">
        <f t="shared" si="67"/>
        <v>1293</v>
      </c>
      <c r="AJ80" s="41">
        <f t="shared" si="68"/>
        <v>88.63987635239567</v>
      </c>
      <c r="AK80" s="41">
        <f t="shared" si="69"/>
        <v>3.6321483771251932</v>
      </c>
      <c r="AL80" s="41">
        <f t="shared" si="70"/>
        <v>7.727975270479134</v>
      </c>
      <c r="AM80" s="41">
        <f t="shared" si="71"/>
        <v>0</v>
      </c>
      <c r="AN80" s="41">
        <f t="shared" si="72"/>
        <v>0</v>
      </c>
      <c r="AO80" s="41">
        <f t="shared" si="73"/>
        <v>100</v>
      </c>
      <c r="AP80" s="41">
        <f t="shared" si="74"/>
        <v>17.8516228748068</v>
      </c>
      <c r="AQ80" s="41">
        <f t="shared" si="75"/>
        <v>3.554868624420402</v>
      </c>
      <c r="AR80" s="41">
        <f t="shared" si="76"/>
        <v>5.332302936630603</v>
      </c>
      <c r="AS80" s="41">
        <f t="shared" si="77"/>
        <v>2.3956723338485317</v>
      </c>
      <c r="AT80" s="41">
        <f t="shared" si="78"/>
        <v>54.79134466769706</v>
      </c>
      <c r="AU80" s="41">
        <f t="shared" si="79"/>
        <v>15.455950540958268</v>
      </c>
      <c r="AV80" s="41">
        <f t="shared" si="80"/>
        <v>0.6182380216383307</v>
      </c>
      <c r="AW80" s="41">
        <f t="shared" si="81"/>
        <v>100</v>
      </c>
      <c r="AX80" s="41">
        <f t="shared" si="82"/>
        <v>0.6182380216383307</v>
      </c>
      <c r="AY80" s="41">
        <f t="shared" si="83"/>
        <v>3.554868624420402</v>
      </c>
      <c r="AZ80" s="41">
        <f t="shared" si="84"/>
        <v>72.56568778979907</v>
      </c>
      <c r="BA80" s="41">
        <f t="shared" si="85"/>
        <v>0.6182380216383307</v>
      </c>
      <c r="BB80" s="41">
        <f t="shared" si="86"/>
        <v>0.6182380216383307</v>
      </c>
      <c r="BC80" s="41">
        <f t="shared" si="87"/>
        <v>2.936630602782071</v>
      </c>
      <c r="BD80" s="41">
        <f t="shared" si="88"/>
        <v>19.088098918083464</v>
      </c>
      <c r="BE80" s="24">
        <f t="shared" si="89"/>
        <v>100</v>
      </c>
      <c r="BG80" t="s">
        <v>154</v>
      </c>
      <c r="BH80" t="s">
        <v>137</v>
      </c>
      <c r="BI80" t="s">
        <v>173</v>
      </c>
      <c r="BJ80" s="25">
        <f t="shared" si="90"/>
        <v>5434</v>
      </c>
      <c r="BK80" s="25">
        <f t="shared" si="91"/>
        <v>1293</v>
      </c>
      <c r="BL80" s="24">
        <f t="shared" si="92"/>
        <v>11.360123647604327</v>
      </c>
      <c r="BM80" s="24">
        <f t="shared" si="93"/>
        <v>82.1483771251932</v>
      </c>
      <c r="BN80" s="24">
        <f t="shared" si="94"/>
        <v>19.088098918083464</v>
      </c>
    </row>
    <row r="81" spans="2:66" ht="15">
      <c r="B81" s="32" t="s">
        <v>92</v>
      </c>
      <c r="C81" s="32" t="s">
        <v>154</v>
      </c>
      <c r="D81" s="33" t="s">
        <v>137</v>
      </c>
      <c r="E81" s="33" t="s">
        <v>174</v>
      </c>
      <c r="F81" s="34">
        <v>9573</v>
      </c>
      <c r="G81" s="34">
        <v>1846</v>
      </c>
      <c r="H81" s="34">
        <v>1391</v>
      </c>
      <c r="I81" s="34">
        <v>18</v>
      </c>
      <c r="J81" s="34">
        <v>428</v>
      </c>
      <c r="K81" s="34">
        <v>0</v>
      </c>
      <c r="L81" s="34">
        <v>9</v>
      </c>
      <c r="M81" s="35">
        <f t="shared" si="64"/>
        <v>1846</v>
      </c>
      <c r="N81" s="34">
        <v>278</v>
      </c>
      <c r="O81" s="34">
        <v>27</v>
      </c>
      <c r="P81" s="34">
        <v>27</v>
      </c>
      <c r="Q81" s="34">
        <v>0</v>
      </c>
      <c r="R81" s="34">
        <v>1148</v>
      </c>
      <c r="S81" s="34">
        <v>366</v>
      </c>
      <c r="T81" s="34">
        <v>0</v>
      </c>
      <c r="U81" s="35">
        <f t="shared" si="65"/>
        <v>1846</v>
      </c>
      <c r="V81" s="35">
        <v>0</v>
      </c>
      <c r="W81" s="35">
        <v>149</v>
      </c>
      <c r="X81" s="35">
        <v>1055</v>
      </c>
      <c r="Y81" s="35">
        <v>0</v>
      </c>
      <c r="Z81" s="35">
        <v>0</v>
      </c>
      <c r="AA81" s="35">
        <v>0</v>
      </c>
      <c r="AB81" s="44">
        <f>641+1</f>
        <v>642</v>
      </c>
      <c r="AC81" s="35">
        <f t="shared" si="66"/>
        <v>1846</v>
      </c>
      <c r="AD81" s="42"/>
      <c r="AF81" t="s">
        <v>154</v>
      </c>
      <c r="AG81" s="37" t="s">
        <v>137</v>
      </c>
      <c r="AH81" s="38" t="s">
        <v>174</v>
      </c>
      <c r="AI81" s="40">
        <f t="shared" si="67"/>
        <v>1846</v>
      </c>
      <c r="AJ81" s="41">
        <f t="shared" si="68"/>
        <v>75.35211267605634</v>
      </c>
      <c r="AK81" s="41">
        <f t="shared" si="69"/>
        <v>0.9750812567713976</v>
      </c>
      <c r="AL81" s="41">
        <f t="shared" si="70"/>
        <v>23.185265438786566</v>
      </c>
      <c r="AM81" s="41">
        <f t="shared" si="71"/>
        <v>0</v>
      </c>
      <c r="AN81" s="41">
        <f t="shared" si="72"/>
        <v>0.4875406283856988</v>
      </c>
      <c r="AO81" s="41">
        <f t="shared" si="73"/>
        <v>100.00000000000001</v>
      </c>
      <c r="AP81" s="41">
        <f t="shared" si="74"/>
        <v>15.059588299024917</v>
      </c>
      <c r="AQ81" s="41">
        <f t="shared" si="75"/>
        <v>1.4626218851570965</v>
      </c>
      <c r="AR81" s="41">
        <f t="shared" si="76"/>
        <v>1.4626218851570965</v>
      </c>
      <c r="AS81" s="41">
        <f t="shared" si="77"/>
        <v>0</v>
      </c>
      <c r="AT81" s="41">
        <f t="shared" si="78"/>
        <v>62.188515709642466</v>
      </c>
      <c r="AU81" s="41">
        <f t="shared" si="79"/>
        <v>19.826652221018417</v>
      </c>
      <c r="AV81" s="41">
        <f t="shared" si="80"/>
        <v>0</v>
      </c>
      <c r="AW81" s="41">
        <f t="shared" si="81"/>
        <v>100</v>
      </c>
      <c r="AX81" s="41">
        <f t="shared" si="82"/>
        <v>0</v>
      </c>
      <c r="AY81" s="41">
        <f t="shared" si="83"/>
        <v>8.071505958829903</v>
      </c>
      <c r="AZ81" s="41">
        <f t="shared" si="84"/>
        <v>57.15059588299025</v>
      </c>
      <c r="BA81" s="41">
        <f t="shared" si="85"/>
        <v>0</v>
      </c>
      <c r="BB81" s="41">
        <f t="shared" si="86"/>
        <v>0</v>
      </c>
      <c r="BC81" s="41">
        <f t="shared" si="87"/>
        <v>0</v>
      </c>
      <c r="BD81" s="41">
        <f t="shared" si="88"/>
        <v>34.77789815817985</v>
      </c>
      <c r="BE81" s="24">
        <f t="shared" si="89"/>
        <v>100</v>
      </c>
      <c r="BG81" t="s">
        <v>154</v>
      </c>
      <c r="BH81" t="s">
        <v>137</v>
      </c>
      <c r="BI81" t="s">
        <v>174</v>
      </c>
      <c r="BJ81" s="25">
        <f t="shared" si="90"/>
        <v>9573</v>
      </c>
      <c r="BK81" s="25">
        <f t="shared" si="91"/>
        <v>1846</v>
      </c>
      <c r="BL81" s="24">
        <f t="shared" si="92"/>
        <v>24.64788732394366</v>
      </c>
      <c r="BM81" s="24">
        <f t="shared" si="93"/>
        <v>84.94041170097508</v>
      </c>
      <c r="BN81" s="24">
        <f t="shared" si="94"/>
        <v>34.77789815817985</v>
      </c>
    </row>
    <row r="82" spans="2:66" ht="15">
      <c r="B82" s="32" t="s">
        <v>92</v>
      </c>
      <c r="C82" s="32" t="s">
        <v>154</v>
      </c>
      <c r="D82" s="33" t="s">
        <v>137</v>
      </c>
      <c r="E82" s="33" t="s">
        <v>175</v>
      </c>
      <c r="F82" s="34">
        <v>15739</v>
      </c>
      <c r="G82" s="34">
        <v>2781</v>
      </c>
      <c r="H82" s="34">
        <v>1801</v>
      </c>
      <c r="I82" s="34">
        <v>15</v>
      </c>
      <c r="J82" s="34">
        <v>893</v>
      </c>
      <c r="K82" s="34">
        <v>28</v>
      </c>
      <c r="L82" s="34">
        <v>44</v>
      </c>
      <c r="M82" s="35">
        <f t="shared" si="64"/>
        <v>2781</v>
      </c>
      <c r="N82" s="34">
        <v>662</v>
      </c>
      <c r="O82" s="34">
        <v>159</v>
      </c>
      <c r="P82" s="34">
        <v>128</v>
      </c>
      <c r="Q82" s="34">
        <v>15</v>
      </c>
      <c r="R82" s="34">
        <v>615</v>
      </c>
      <c r="S82" s="34">
        <v>1201</v>
      </c>
      <c r="T82" s="36">
        <v>1</v>
      </c>
      <c r="U82" s="35">
        <f t="shared" si="65"/>
        <v>2781</v>
      </c>
      <c r="V82" s="35">
        <v>14</v>
      </c>
      <c r="W82" s="35">
        <v>333</v>
      </c>
      <c r="X82" s="35">
        <v>1060</v>
      </c>
      <c r="Y82" s="35">
        <v>0</v>
      </c>
      <c r="Z82" s="35">
        <v>14</v>
      </c>
      <c r="AA82" s="35">
        <v>44</v>
      </c>
      <c r="AB82" s="35">
        <v>1316</v>
      </c>
      <c r="AC82" s="35">
        <f t="shared" si="66"/>
        <v>2781</v>
      </c>
      <c r="AD82" s="42"/>
      <c r="AF82" t="s">
        <v>154</v>
      </c>
      <c r="AG82" s="37" t="s">
        <v>137</v>
      </c>
      <c r="AH82" s="38" t="s">
        <v>175</v>
      </c>
      <c r="AI82" s="40">
        <f t="shared" si="67"/>
        <v>2781</v>
      </c>
      <c r="AJ82" s="41">
        <f t="shared" si="68"/>
        <v>64.7608773822366</v>
      </c>
      <c r="AK82" s="41">
        <f t="shared" si="69"/>
        <v>0.5393743257820928</v>
      </c>
      <c r="AL82" s="41">
        <f t="shared" si="70"/>
        <v>32.110751528227254</v>
      </c>
      <c r="AM82" s="41">
        <f t="shared" si="71"/>
        <v>1.0068320747932398</v>
      </c>
      <c r="AN82" s="41">
        <f t="shared" si="72"/>
        <v>1.5821646889608056</v>
      </c>
      <c r="AO82" s="41">
        <f t="shared" si="73"/>
        <v>99.99999999999999</v>
      </c>
      <c r="AP82" s="41">
        <f t="shared" si="74"/>
        <v>23.80438691118303</v>
      </c>
      <c r="AQ82" s="41">
        <f t="shared" si="75"/>
        <v>5.717367853290183</v>
      </c>
      <c r="AR82" s="41">
        <f t="shared" si="76"/>
        <v>4.602660913340525</v>
      </c>
      <c r="AS82" s="41">
        <f t="shared" si="77"/>
        <v>0.5393743257820928</v>
      </c>
      <c r="AT82" s="41">
        <f t="shared" si="78"/>
        <v>22.114347357065803</v>
      </c>
      <c r="AU82" s="41">
        <f t="shared" si="79"/>
        <v>43.185904350952896</v>
      </c>
      <c r="AV82" s="41">
        <f t="shared" si="80"/>
        <v>0.03595828838547285</v>
      </c>
      <c r="AW82" s="41">
        <f t="shared" si="81"/>
        <v>100</v>
      </c>
      <c r="AX82" s="41">
        <f t="shared" si="82"/>
        <v>0.5034160373966199</v>
      </c>
      <c r="AY82" s="41">
        <f t="shared" si="83"/>
        <v>11.974110032362459</v>
      </c>
      <c r="AZ82" s="41">
        <f t="shared" si="84"/>
        <v>38.11578568860122</v>
      </c>
      <c r="BA82" s="41">
        <f t="shared" si="85"/>
        <v>0</v>
      </c>
      <c r="BB82" s="41">
        <f t="shared" si="86"/>
        <v>0.5034160373966199</v>
      </c>
      <c r="BC82" s="41">
        <f t="shared" si="87"/>
        <v>1.5821646889608056</v>
      </c>
      <c r="BD82" s="41">
        <f t="shared" si="88"/>
        <v>47.32110751528227</v>
      </c>
      <c r="BE82" s="24">
        <f t="shared" si="89"/>
        <v>100</v>
      </c>
      <c r="BG82" t="s">
        <v>154</v>
      </c>
      <c r="BH82" t="s">
        <v>137</v>
      </c>
      <c r="BI82" t="s">
        <v>175</v>
      </c>
      <c r="BJ82" s="25">
        <f t="shared" si="90"/>
        <v>15739</v>
      </c>
      <c r="BK82" s="25">
        <f t="shared" si="91"/>
        <v>2781</v>
      </c>
      <c r="BL82" s="24">
        <f t="shared" si="92"/>
        <v>35.23912261776339</v>
      </c>
      <c r="BM82" s="24">
        <f t="shared" si="93"/>
        <v>76.19561308881697</v>
      </c>
      <c r="BN82" s="24">
        <f t="shared" si="94"/>
        <v>47.32110751528227</v>
      </c>
    </row>
    <row r="83" spans="2:66" ht="15">
      <c r="B83" s="32" t="s">
        <v>92</v>
      </c>
      <c r="C83" s="32" t="s">
        <v>154</v>
      </c>
      <c r="D83" s="33" t="s">
        <v>137</v>
      </c>
      <c r="E83" s="33" t="s">
        <v>176</v>
      </c>
      <c r="F83" s="34">
        <v>10187</v>
      </c>
      <c r="G83" s="34">
        <v>1779</v>
      </c>
      <c r="H83" s="34">
        <v>1302</v>
      </c>
      <c r="I83" s="34">
        <v>40</v>
      </c>
      <c r="J83" s="34">
        <v>427</v>
      </c>
      <c r="K83" s="34">
        <v>10</v>
      </c>
      <c r="L83" s="34">
        <v>0</v>
      </c>
      <c r="M83" s="35">
        <f t="shared" si="64"/>
        <v>1779</v>
      </c>
      <c r="N83" s="34">
        <v>655</v>
      </c>
      <c r="O83" s="34">
        <v>116</v>
      </c>
      <c r="P83" s="34">
        <v>100</v>
      </c>
      <c r="Q83" s="34">
        <v>0</v>
      </c>
      <c r="R83" s="34">
        <v>400</v>
      </c>
      <c r="S83" s="36">
        <f>509-1</f>
        <v>508</v>
      </c>
      <c r="T83" s="34">
        <v>0</v>
      </c>
      <c r="U83" s="35">
        <f t="shared" si="65"/>
        <v>1779</v>
      </c>
      <c r="V83" s="35">
        <v>107</v>
      </c>
      <c r="W83" s="35">
        <v>299</v>
      </c>
      <c r="X83" s="35">
        <v>577</v>
      </c>
      <c r="Y83" s="35">
        <v>9</v>
      </c>
      <c r="Z83" s="35">
        <v>0</v>
      </c>
      <c r="AA83" s="35">
        <v>40</v>
      </c>
      <c r="AB83" s="44">
        <f>748-1</f>
        <v>747</v>
      </c>
      <c r="AC83" s="35">
        <f t="shared" si="66"/>
        <v>1779</v>
      </c>
      <c r="AD83" s="42"/>
      <c r="AF83" t="s">
        <v>154</v>
      </c>
      <c r="AG83" s="37" t="s">
        <v>137</v>
      </c>
      <c r="AH83" s="38" t="s">
        <v>176</v>
      </c>
      <c r="AI83" s="40">
        <f t="shared" si="67"/>
        <v>1779</v>
      </c>
      <c r="AJ83" s="41">
        <f t="shared" si="68"/>
        <v>73.18718381112986</v>
      </c>
      <c r="AK83" s="41">
        <f t="shared" si="69"/>
        <v>2.2484541877459248</v>
      </c>
      <c r="AL83" s="41">
        <f t="shared" si="70"/>
        <v>24.002248454187747</v>
      </c>
      <c r="AM83" s="41">
        <f t="shared" si="71"/>
        <v>0.5621135469364812</v>
      </c>
      <c r="AN83" s="41">
        <f t="shared" si="72"/>
        <v>0</v>
      </c>
      <c r="AO83" s="41">
        <f t="shared" si="73"/>
        <v>100.00000000000001</v>
      </c>
      <c r="AP83" s="41">
        <f t="shared" si="74"/>
        <v>36.81843732433951</v>
      </c>
      <c r="AQ83" s="41">
        <f t="shared" si="75"/>
        <v>6.520517144463181</v>
      </c>
      <c r="AR83" s="41">
        <f t="shared" si="76"/>
        <v>5.621135469364812</v>
      </c>
      <c r="AS83" s="41">
        <f t="shared" si="77"/>
        <v>0</v>
      </c>
      <c r="AT83" s="41">
        <f t="shared" si="78"/>
        <v>22.484541877459247</v>
      </c>
      <c r="AU83" s="41">
        <f t="shared" si="79"/>
        <v>28.555368184373243</v>
      </c>
      <c r="AV83" s="41">
        <f t="shared" si="80"/>
        <v>0</v>
      </c>
      <c r="AW83" s="41">
        <f t="shared" si="81"/>
        <v>100</v>
      </c>
      <c r="AX83" s="41">
        <f t="shared" si="82"/>
        <v>6.014614952220349</v>
      </c>
      <c r="AY83" s="41">
        <f t="shared" si="83"/>
        <v>16.807195053400786</v>
      </c>
      <c r="AZ83" s="41">
        <f t="shared" si="84"/>
        <v>32.43395165823496</v>
      </c>
      <c r="BA83" s="41">
        <f t="shared" si="85"/>
        <v>0.5059021922428331</v>
      </c>
      <c r="BB83" s="41">
        <f t="shared" si="86"/>
        <v>0</v>
      </c>
      <c r="BC83" s="41">
        <f t="shared" si="87"/>
        <v>2.2484541877459248</v>
      </c>
      <c r="BD83" s="41">
        <f t="shared" si="88"/>
        <v>41.989881956155145</v>
      </c>
      <c r="BE83" s="24">
        <f t="shared" si="89"/>
        <v>100</v>
      </c>
      <c r="BG83" t="s">
        <v>154</v>
      </c>
      <c r="BH83" t="s">
        <v>137</v>
      </c>
      <c r="BI83" t="s">
        <v>176</v>
      </c>
      <c r="BJ83" s="25">
        <f t="shared" si="90"/>
        <v>10187</v>
      </c>
      <c r="BK83" s="25">
        <f t="shared" si="91"/>
        <v>1779</v>
      </c>
      <c r="BL83" s="24">
        <f t="shared" si="92"/>
        <v>26.81281618887015</v>
      </c>
      <c r="BM83" s="24">
        <f t="shared" si="93"/>
        <v>63.18156267566048</v>
      </c>
      <c r="BN83" s="24">
        <f t="shared" si="94"/>
        <v>41.989881956155145</v>
      </c>
    </row>
    <row r="84" spans="2:66" ht="15">
      <c r="B84" s="32" t="s">
        <v>92</v>
      </c>
      <c r="C84" s="32" t="s">
        <v>154</v>
      </c>
      <c r="D84" s="33" t="s">
        <v>108</v>
      </c>
      <c r="E84" s="33" t="s">
        <v>177</v>
      </c>
      <c r="F84" s="34">
        <v>8000</v>
      </c>
      <c r="G84" s="34">
        <v>2125</v>
      </c>
      <c r="H84" s="34">
        <v>1743</v>
      </c>
      <c r="I84" s="34">
        <v>100</v>
      </c>
      <c r="J84" s="34">
        <v>282</v>
      </c>
      <c r="K84" s="34">
        <v>0</v>
      </c>
      <c r="L84" s="34">
        <v>0</v>
      </c>
      <c r="M84" s="35">
        <f t="shared" si="64"/>
        <v>2125</v>
      </c>
      <c r="N84" s="34">
        <v>334</v>
      </c>
      <c r="O84" s="34">
        <v>132</v>
      </c>
      <c r="P84" s="34">
        <v>151</v>
      </c>
      <c r="Q84" s="34">
        <v>146</v>
      </c>
      <c r="R84" s="34">
        <v>1025</v>
      </c>
      <c r="S84" s="34">
        <v>331</v>
      </c>
      <c r="T84" s="36">
        <f>9-3</f>
        <v>6</v>
      </c>
      <c r="U84" s="35">
        <f t="shared" si="65"/>
        <v>2125</v>
      </c>
      <c r="V84" s="35">
        <v>111</v>
      </c>
      <c r="W84" s="35">
        <v>193</v>
      </c>
      <c r="X84" s="35">
        <v>1456</v>
      </c>
      <c r="Y84" s="35">
        <v>0</v>
      </c>
      <c r="Z84" s="35">
        <v>0</v>
      </c>
      <c r="AA84" s="35">
        <v>86</v>
      </c>
      <c r="AB84" s="35">
        <v>279</v>
      </c>
      <c r="AC84" s="35">
        <f t="shared" si="66"/>
        <v>2125</v>
      </c>
      <c r="AD84" s="42"/>
      <c r="AF84" t="s">
        <v>154</v>
      </c>
      <c r="AG84" s="37" t="s">
        <v>108</v>
      </c>
      <c r="AH84" s="38" t="s">
        <v>177</v>
      </c>
      <c r="AI84" s="40">
        <f t="shared" si="67"/>
        <v>2125</v>
      </c>
      <c r="AJ84" s="41">
        <f t="shared" si="68"/>
        <v>82.02352941176471</v>
      </c>
      <c r="AK84" s="41">
        <f t="shared" si="69"/>
        <v>4.705882352941177</v>
      </c>
      <c r="AL84" s="41">
        <f t="shared" si="70"/>
        <v>13.270588235294117</v>
      </c>
      <c r="AM84" s="41">
        <f t="shared" si="71"/>
        <v>0</v>
      </c>
      <c r="AN84" s="41">
        <f t="shared" si="72"/>
        <v>0</v>
      </c>
      <c r="AO84" s="41">
        <f t="shared" si="73"/>
        <v>100</v>
      </c>
      <c r="AP84" s="41">
        <f t="shared" si="74"/>
        <v>15.71764705882353</v>
      </c>
      <c r="AQ84" s="41">
        <f t="shared" si="75"/>
        <v>6.211764705882353</v>
      </c>
      <c r="AR84" s="41">
        <f t="shared" si="76"/>
        <v>7.105882352941177</v>
      </c>
      <c r="AS84" s="41">
        <f t="shared" si="77"/>
        <v>6.870588235294117</v>
      </c>
      <c r="AT84" s="41">
        <f t="shared" si="78"/>
        <v>48.23529411764706</v>
      </c>
      <c r="AU84" s="41">
        <f t="shared" si="79"/>
        <v>15.576470588235294</v>
      </c>
      <c r="AV84" s="41">
        <f t="shared" si="80"/>
        <v>0.2823529411764706</v>
      </c>
      <c r="AW84" s="41">
        <f t="shared" si="81"/>
        <v>100</v>
      </c>
      <c r="AX84" s="41">
        <f t="shared" si="82"/>
        <v>5.223529411764706</v>
      </c>
      <c r="AY84" s="41">
        <f t="shared" si="83"/>
        <v>9.08235294117647</v>
      </c>
      <c r="AZ84" s="41">
        <f t="shared" si="84"/>
        <v>68.51764705882353</v>
      </c>
      <c r="BA84" s="41">
        <f t="shared" si="85"/>
        <v>0</v>
      </c>
      <c r="BB84" s="41">
        <f t="shared" si="86"/>
        <v>0</v>
      </c>
      <c r="BC84" s="41">
        <f t="shared" si="87"/>
        <v>4.047058823529412</v>
      </c>
      <c r="BD84" s="41">
        <f t="shared" si="88"/>
        <v>13.129411764705882</v>
      </c>
      <c r="BE84" s="24">
        <f t="shared" si="89"/>
        <v>99.99999999999999</v>
      </c>
      <c r="BG84" t="s">
        <v>154</v>
      </c>
      <c r="BH84" t="s">
        <v>108</v>
      </c>
      <c r="BI84" t="s">
        <v>177</v>
      </c>
      <c r="BJ84" s="25">
        <f t="shared" si="90"/>
        <v>8000</v>
      </c>
      <c r="BK84" s="25">
        <f t="shared" si="91"/>
        <v>2125</v>
      </c>
      <c r="BL84" s="24">
        <f t="shared" si="92"/>
        <v>17.976470588235294</v>
      </c>
      <c r="BM84" s="24">
        <f t="shared" si="93"/>
        <v>84.28235294117647</v>
      </c>
      <c r="BN84" s="24">
        <f t="shared" si="94"/>
        <v>13.129411764705882</v>
      </c>
    </row>
    <row r="85" spans="2:66" ht="14.25">
      <c r="B85" s="32" t="s">
        <v>92</v>
      </c>
      <c r="C85" s="32" t="s">
        <v>154</v>
      </c>
      <c r="D85" s="33" t="s">
        <v>108</v>
      </c>
      <c r="E85" s="33" t="s">
        <v>178</v>
      </c>
      <c r="F85" s="34">
        <v>2308</v>
      </c>
      <c r="G85" s="34">
        <v>492</v>
      </c>
      <c r="H85" s="34">
        <v>349</v>
      </c>
      <c r="I85" s="34">
        <v>12</v>
      </c>
      <c r="J85" s="34">
        <v>108</v>
      </c>
      <c r="K85" s="34">
        <v>23</v>
      </c>
      <c r="L85" s="34">
        <v>0</v>
      </c>
      <c r="M85" s="35">
        <f t="shared" si="64"/>
        <v>492</v>
      </c>
      <c r="N85" s="34">
        <v>429</v>
      </c>
      <c r="O85" s="34">
        <v>17</v>
      </c>
      <c r="P85" s="34">
        <v>6</v>
      </c>
      <c r="Q85" s="34">
        <v>0</v>
      </c>
      <c r="R85" s="34">
        <v>6</v>
      </c>
      <c r="S85" s="34">
        <v>34</v>
      </c>
      <c r="T85" s="34">
        <v>0</v>
      </c>
      <c r="U85" s="35">
        <f t="shared" si="65"/>
        <v>492</v>
      </c>
      <c r="V85" s="35">
        <v>6</v>
      </c>
      <c r="W85" s="35">
        <v>56</v>
      </c>
      <c r="X85" s="35">
        <v>392</v>
      </c>
      <c r="Y85" s="35">
        <v>0</v>
      </c>
      <c r="Z85" s="35">
        <v>0</v>
      </c>
      <c r="AA85" s="35">
        <v>12</v>
      </c>
      <c r="AB85" s="35">
        <v>26</v>
      </c>
      <c r="AC85" s="35">
        <f t="shared" si="66"/>
        <v>492</v>
      </c>
      <c r="AD85" s="42"/>
      <c r="AF85" t="s">
        <v>154</v>
      </c>
      <c r="AG85" s="37" t="s">
        <v>108</v>
      </c>
      <c r="AH85" s="38" t="s">
        <v>178</v>
      </c>
      <c r="AI85" s="40">
        <f t="shared" si="67"/>
        <v>492</v>
      </c>
      <c r="AJ85" s="41">
        <f t="shared" si="68"/>
        <v>70.9349593495935</v>
      </c>
      <c r="AK85" s="41">
        <f t="shared" si="69"/>
        <v>2.4390243902439024</v>
      </c>
      <c r="AL85" s="41">
        <f t="shared" si="70"/>
        <v>21.951219512195124</v>
      </c>
      <c r="AM85" s="41">
        <f t="shared" si="71"/>
        <v>4.67479674796748</v>
      </c>
      <c r="AN85" s="41">
        <f t="shared" si="72"/>
        <v>0</v>
      </c>
      <c r="AO85" s="41">
        <f t="shared" si="73"/>
        <v>100</v>
      </c>
      <c r="AP85" s="41">
        <f t="shared" si="74"/>
        <v>87.1951219512195</v>
      </c>
      <c r="AQ85" s="41">
        <f t="shared" si="75"/>
        <v>3.4552845528455287</v>
      </c>
      <c r="AR85" s="41">
        <f t="shared" si="76"/>
        <v>1.2195121951219512</v>
      </c>
      <c r="AS85" s="41">
        <f t="shared" si="77"/>
        <v>0</v>
      </c>
      <c r="AT85" s="41">
        <f t="shared" si="78"/>
        <v>1.2195121951219512</v>
      </c>
      <c r="AU85" s="41">
        <f t="shared" si="79"/>
        <v>6.910569105691057</v>
      </c>
      <c r="AV85" s="41">
        <f t="shared" si="80"/>
        <v>0</v>
      </c>
      <c r="AW85" s="41">
        <f t="shared" si="81"/>
        <v>99.99999999999999</v>
      </c>
      <c r="AX85" s="41">
        <f t="shared" si="82"/>
        <v>1.2195121951219512</v>
      </c>
      <c r="AY85" s="41">
        <f t="shared" si="83"/>
        <v>11.38211382113821</v>
      </c>
      <c r="AZ85" s="41">
        <f t="shared" si="84"/>
        <v>79.67479674796748</v>
      </c>
      <c r="BA85" s="41">
        <f t="shared" si="85"/>
        <v>0</v>
      </c>
      <c r="BB85" s="41">
        <f t="shared" si="86"/>
        <v>0</v>
      </c>
      <c r="BC85" s="41">
        <f t="shared" si="87"/>
        <v>2.4390243902439024</v>
      </c>
      <c r="BD85" s="41">
        <f t="shared" si="88"/>
        <v>5.284552845528456</v>
      </c>
      <c r="BE85" s="24">
        <f t="shared" si="89"/>
        <v>99.99999999999999</v>
      </c>
      <c r="BG85" t="s">
        <v>154</v>
      </c>
      <c r="BH85" t="s">
        <v>108</v>
      </c>
      <c r="BI85" t="s">
        <v>178</v>
      </c>
      <c r="BJ85" s="25">
        <f t="shared" si="90"/>
        <v>2308</v>
      </c>
      <c r="BK85" s="25">
        <f t="shared" si="91"/>
        <v>492</v>
      </c>
      <c r="BL85" s="24">
        <f t="shared" si="92"/>
        <v>29.065040650406505</v>
      </c>
      <c r="BM85" s="24">
        <f t="shared" si="93"/>
        <v>12.804878048780488</v>
      </c>
      <c r="BN85" s="24">
        <f t="shared" si="94"/>
        <v>5.284552845528456</v>
      </c>
    </row>
    <row r="86" spans="2:66" ht="15">
      <c r="B86" s="32" t="s">
        <v>92</v>
      </c>
      <c r="C86" s="32" t="s">
        <v>154</v>
      </c>
      <c r="D86" s="33" t="s">
        <v>108</v>
      </c>
      <c r="E86" s="33" t="s">
        <v>179</v>
      </c>
      <c r="F86" s="34">
        <v>8446</v>
      </c>
      <c r="G86" s="34">
        <v>1506</v>
      </c>
      <c r="H86" s="34">
        <v>1085</v>
      </c>
      <c r="I86" s="34">
        <v>37</v>
      </c>
      <c r="J86" s="34">
        <v>318</v>
      </c>
      <c r="K86" s="34">
        <v>65</v>
      </c>
      <c r="L86" s="34">
        <v>0</v>
      </c>
      <c r="M86" s="35">
        <f t="shared" si="64"/>
        <v>1505</v>
      </c>
      <c r="N86" s="34">
        <v>1239</v>
      </c>
      <c r="O86" s="34">
        <v>71</v>
      </c>
      <c r="P86" s="34">
        <v>32</v>
      </c>
      <c r="Q86" s="34">
        <v>0</v>
      </c>
      <c r="R86" s="34">
        <v>19</v>
      </c>
      <c r="S86" s="36">
        <f>145-1</f>
        <v>144</v>
      </c>
      <c r="T86" s="34">
        <v>0</v>
      </c>
      <c r="U86" s="35">
        <f t="shared" si="65"/>
        <v>1505</v>
      </c>
      <c r="V86" s="35">
        <v>0</v>
      </c>
      <c r="W86" s="35">
        <v>127</v>
      </c>
      <c r="X86" s="35">
        <v>1262</v>
      </c>
      <c r="Y86" s="35">
        <v>0</v>
      </c>
      <c r="Z86" s="35">
        <v>0</v>
      </c>
      <c r="AA86" s="35">
        <v>52</v>
      </c>
      <c r="AB86" s="35">
        <f>66-2</f>
        <v>64</v>
      </c>
      <c r="AC86" s="35">
        <f t="shared" si="66"/>
        <v>1505</v>
      </c>
      <c r="AD86" s="42"/>
      <c r="AF86" t="s">
        <v>154</v>
      </c>
      <c r="AG86" s="37" t="s">
        <v>108</v>
      </c>
      <c r="AH86" s="38" t="s">
        <v>179</v>
      </c>
      <c r="AI86" s="40">
        <f t="shared" si="67"/>
        <v>1506</v>
      </c>
      <c r="AJ86" s="41">
        <f t="shared" si="68"/>
        <v>72.09302325581395</v>
      </c>
      <c r="AK86" s="41">
        <f t="shared" si="69"/>
        <v>2.458471760797342</v>
      </c>
      <c r="AL86" s="41">
        <f t="shared" si="70"/>
        <v>21.129568106312295</v>
      </c>
      <c r="AM86" s="41">
        <f t="shared" si="71"/>
        <v>4.318936877076411</v>
      </c>
      <c r="AN86" s="41">
        <f t="shared" si="72"/>
        <v>0</v>
      </c>
      <c r="AO86" s="41">
        <f t="shared" si="73"/>
        <v>99.99999999999999</v>
      </c>
      <c r="AP86" s="41">
        <f t="shared" si="74"/>
        <v>82.32558139534883</v>
      </c>
      <c r="AQ86" s="41">
        <f t="shared" si="75"/>
        <v>4.717607973421927</v>
      </c>
      <c r="AR86" s="41">
        <f t="shared" si="76"/>
        <v>2.12624584717608</v>
      </c>
      <c r="AS86" s="41">
        <f t="shared" si="77"/>
        <v>0</v>
      </c>
      <c r="AT86" s="41">
        <f t="shared" si="78"/>
        <v>1.2624584717607974</v>
      </c>
      <c r="AU86" s="41">
        <f t="shared" si="79"/>
        <v>9.56810631229236</v>
      </c>
      <c r="AV86" s="41">
        <f t="shared" si="80"/>
        <v>0</v>
      </c>
      <c r="AW86" s="41">
        <f t="shared" si="81"/>
        <v>99.99999999999999</v>
      </c>
      <c r="AX86" s="41">
        <f t="shared" si="82"/>
        <v>0</v>
      </c>
      <c r="AY86" s="41">
        <f t="shared" si="83"/>
        <v>8.438538205980066</v>
      </c>
      <c r="AZ86" s="41">
        <f t="shared" si="84"/>
        <v>83.85382059800665</v>
      </c>
      <c r="BA86" s="41">
        <f t="shared" si="85"/>
        <v>0</v>
      </c>
      <c r="BB86" s="41">
        <f t="shared" si="86"/>
        <v>0</v>
      </c>
      <c r="BC86" s="41">
        <f t="shared" si="87"/>
        <v>3.4551495016611296</v>
      </c>
      <c r="BD86" s="41">
        <f t="shared" si="88"/>
        <v>4.25249169435216</v>
      </c>
      <c r="BE86" s="24">
        <f t="shared" si="89"/>
        <v>100</v>
      </c>
      <c r="BG86" t="s">
        <v>154</v>
      </c>
      <c r="BH86" t="s">
        <v>108</v>
      </c>
      <c r="BI86" t="s">
        <v>179</v>
      </c>
      <c r="BJ86" s="25">
        <f t="shared" si="90"/>
        <v>8446</v>
      </c>
      <c r="BK86" s="25">
        <f t="shared" si="91"/>
        <v>1506</v>
      </c>
      <c r="BL86" s="24">
        <f t="shared" si="92"/>
        <v>27.906976744186046</v>
      </c>
      <c r="BM86" s="24">
        <f t="shared" si="93"/>
        <v>17.674418604651166</v>
      </c>
      <c r="BN86" s="24">
        <f t="shared" si="94"/>
        <v>4.25249169435216</v>
      </c>
    </row>
    <row r="87" spans="2:66" ht="15">
      <c r="B87" s="32" t="s">
        <v>92</v>
      </c>
      <c r="C87" s="32" t="s">
        <v>154</v>
      </c>
      <c r="D87" s="33" t="s">
        <v>108</v>
      </c>
      <c r="E87" s="33" t="s">
        <v>180</v>
      </c>
      <c r="F87" s="34">
        <v>10327</v>
      </c>
      <c r="G87" s="34">
        <v>2045</v>
      </c>
      <c r="H87" s="34">
        <v>1082</v>
      </c>
      <c r="I87" s="34">
        <v>108</v>
      </c>
      <c r="J87" s="34">
        <v>823</v>
      </c>
      <c r="K87" s="34">
        <v>32</v>
      </c>
      <c r="L87" s="34">
        <v>0</v>
      </c>
      <c r="M87" s="35">
        <f t="shared" si="64"/>
        <v>2045</v>
      </c>
      <c r="N87" s="34">
        <v>1561</v>
      </c>
      <c r="O87" s="34">
        <v>152</v>
      </c>
      <c r="P87" s="34">
        <v>105</v>
      </c>
      <c r="Q87" s="34">
        <v>26</v>
      </c>
      <c r="R87" s="34">
        <v>21</v>
      </c>
      <c r="S87" s="36">
        <f>181-1</f>
        <v>180</v>
      </c>
      <c r="T87" s="34">
        <v>0</v>
      </c>
      <c r="U87" s="35">
        <f t="shared" si="65"/>
        <v>2045</v>
      </c>
      <c r="V87" s="35">
        <v>286</v>
      </c>
      <c r="W87" s="35">
        <v>156</v>
      </c>
      <c r="X87" s="35">
        <v>1302</v>
      </c>
      <c r="Y87" s="35">
        <v>10</v>
      </c>
      <c r="Z87" s="35">
        <v>26</v>
      </c>
      <c r="AA87" s="35">
        <v>117</v>
      </c>
      <c r="AB87" s="44">
        <f>149-1</f>
        <v>148</v>
      </c>
      <c r="AC87" s="35">
        <f t="shared" si="66"/>
        <v>2045</v>
      </c>
      <c r="AD87" s="42"/>
      <c r="AF87" t="s">
        <v>154</v>
      </c>
      <c r="AG87" s="37" t="s">
        <v>108</v>
      </c>
      <c r="AH87" s="38" t="s">
        <v>180</v>
      </c>
      <c r="AI87" s="40">
        <f t="shared" si="67"/>
        <v>2045</v>
      </c>
      <c r="AJ87" s="41">
        <f t="shared" si="68"/>
        <v>52.90953545232274</v>
      </c>
      <c r="AK87" s="41">
        <f t="shared" si="69"/>
        <v>5.281173594132029</v>
      </c>
      <c r="AL87" s="41">
        <f t="shared" si="70"/>
        <v>40.24449877750611</v>
      </c>
      <c r="AM87" s="41">
        <f t="shared" si="71"/>
        <v>1.5647921760391197</v>
      </c>
      <c r="AN87" s="41">
        <f t="shared" si="72"/>
        <v>0</v>
      </c>
      <c r="AO87" s="41">
        <f t="shared" si="73"/>
        <v>100</v>
      </c>
      <c r="AP87" s="41">
        <f t="shared" si="74"/>
        <v>76.33251833740832</v>
      </c>
      <c r="AQ87" s="41">
        <f t="shared" si="75"/>
        <v>7.432762836185819</v>
      </c>
      <c r="AR87" s="41">
        <f t="shared" si="76"/>
        <v>5.134474327628362</v>
      </c>
      <c r="AS87" s="41">
        <f t="shared" si="77"/>
        <v>1.2713936430317847</v>
      </c>
      <c r="AT87" s="41">
        <f t="shared" si="78"/>
        <v>1.0268948655256724</v>
      </c>
      <c r="AU87" s="41">
        <f t="shared" si="79"/>
        <v>8.80195599022005</v>
      </c>
      <c r="AV87" s="41">
        <f t="shared" si="80"/>
        <v>0</v>
      </c>
      <c r="AW87" s="41">
        <f t="shared" si="81"/>
        <v>100.00000000000001</v>
      </c>
      <c r="AX87" s="41">
        <f t="shared" si="82"/>
        <v>13.985330073349633</v>
      </c>
      <c r="AY87" s="41">
        <f t="shared" si="83"/>
        <v>7.628361858190709</v>
      </c>
      <c r="AZ87" s="41">
        <f t="shared" si="84"/>
        <v>63.66748166259168</v>
      </c>
      <c r="BA87" s="41">
        <f t="shared" si="85"/>
        <v>0.4889975550122249</v>
      </c>
      <c r="BB87" s="41">
        <f t="shared" si="86"/>
        <v>1.2713936430317847</v>
      </c>
      <c r="BC87" s="41">
        <f t="shared" si="87"/>
        <v>5.721271393643032</v>
      </c>
      <c r="BD87" s="41">
        <f t="shared" si="88"/>
        <v>7.237163814180929</v>
      </c>
      <c r="BE87" s="24">
        <f t="shared" si="89"/>
        <v>100</v>
      </c>
      <c r="BG87" t="s">
        <v>154</v>
      </c>
      <c r="BH87" t="s">
        <v>108</v>
      </c>
      <c r="BI87" t="s">
        <v>180</v>
      </c>
      <c r="BJ87" s="25">
        <f t="shared" si="90"/>
        <v>10327</v>
      </c>
      <c r="BK87" s="25">
        <f t="shared" si="91"/>
        <v>2045</v>
      </c>
      <c r="BL87" s="24">
        <f t="shared" si="92"/>
        <v>47.09046454767726</v>
      </c>
      <c r="BM87" s="24">
        <f t="shared" si="93"/>
        <v>23.667481662591687</v>
      </c>
      <c r="BN87" s="24">
        <f t="shared" si="94"/>
        <v>7.237163814180929</v>
      </c>
    </row>
    <row r="88" spans="2:66" ht="15">
      <c r="B88" s="32" t="s">
        <v>92</v>
      </c>
      <c r="C88" s="32" t="s">
        <v>154</v>
      </c>
      <c r="D88" s="33" t="s">
        <v>108</v>
      </c>
      <c r="E88" s="33" t="s">
        <v>181</v>
      </c>
      <c r="F88" s="34">
        <v>3900</v>
      </c>
      <c r="G88" s="34">
        <v>715</v>
      </c>
      <c r="H88" s="34">
        <v>363</v>
      </c>
      <c r="I88" s="34">
        <v>5</v>
      </c>
      <c r="J88" s="34">
        <v>191</v>
      </c>
      <c r="K88" s="34">
        <v>14</v>
      </c>
      <c r="L88" s="34">
        <v>143</v>
      </c>
      <c r="M88" s="35">
        <f t="shared" si="64"/>
        <v>716</v>
      </c>
      <c r="N88" s="34">
        <v>383</v>
      </c>
      <c r="O88" s="34">
        <v>61</v>
      </c>
      <c r="P88" s="34">
        <v>24</v>
      </c>
      <c r="Q88" s="34">
        <v>0</v>
      </c>
      <c r="R88" s="34">
        <v>51</v>
      </c>
      <c r="S88" s="36">
        <f>198-1</f>
        <v>197</v>
      </c>
      <c r="T88" s="34">
        <v>0</v>
      </c>
      <c r="U88" s="35">
        <f t="shared" si="65"/>
        <v>716</v>
      </c>
      <c r="V88" s="35">
        <v>43</v>
      </c>
      <c r="W88" s="35">
        <v>75</v>
      </c>
      <c r="X88" s="35">
        <v>486</v>
      </c>
      <c r="Y88" s="35">
        <v>0</v>
      </c>
      <c r="Z88" s="35">
        <v>15</v>
      </c>
      <c r="AA88" s="35">
        <v>5</v>
      </c>
      <c r="AB88" s="35">
        <v>92</v>
      </c>
      <c r="AC88" s="35">
        <f t="shared" si="66"/>
        <v>716</v>
      </c>
      <c r="AD88" s="42"/>
      <c r="AF88" t="s">
        <v>154</v>
      </c>
      <c r="AG88" s="37" t="s">
        <v>108</v>
      </c>
      <c r="AH88" s="38" t="s">
        <v>181</v>
      </c>
      <c r="AI88" s="40">
        <f t="shared" si="67"/>
        <v>715</v>
      </c>
      <c r="AJ88" s="41">
        <f t="shared" si="68"/>
        <v>50.69832402234636</v>
      </c>
      <c r="AK88" s="41">
        <f t="shared" si="69"/>
        <v>0.6983240223463687</v>
      </c>
      <c r="AL88" s="41">
        <f t="shared" si="70"/>
        <v>26.675977653631282</v>
      </c>
      <c r="AM88" s="41">
        <f t="shared" si="71"/>
        <v>1.9553072625698324</v>
      </c>
      <c r="AN88" s="41">
        <f t="shared" si="72"/>
        <v>19.972067039106143</v>
      </c>
      <c r="AO88" s="41">
        <f t="shared" si="73"/>
        <v>100</v>
      </c>
      <c r="AP88" s="41">
        <f t="shared" si="74"/>
        <v>53.49162011173184</v>
      </c>
      <c r="AQ88" s="41">
        <f t="shared" si="75"/>
        <v>8.519553072625698</v>
      </c>
      <c r="AR88" s="41">
        <f t="shared" si="76"/>
        <v>3.35195530726257</v>
      </c>
      <c r="AS88" s="41">
        <f t="shared" si="77"/>
        <v>0</v>
      </c>
      <c r="AT88" s="41">
        <f t="shared" si="78"/>
        <v>7.12290502793296</v>
      </c>
      <c r="AU88" s="41">
        <f t="shared" si="79"/>
        <v>27.51396648044693</v>
      </c>
      <c r="AV88" s="41">
        <f t="shared" si="80"/>
        <v>0</v>
      </c>
      <c r="AW88" s="41">
        <f t="shared" si="81"/>
        <v>99.99999999999999</v>
      </c>
      <c r="AX88" s="41">
        <f t="shared" si="82"/>
        <v>6.005586592178771</v>
      </c>
      <c r="AY88" s="41">
        <f t="shared" si="83"/>
        <v>10.474860335195531</v>
      </c>
      <c r="AZ88" s="41">
        <f t="shared" si="84"/>
        <v>67.87709497206704</v>
      </c>
      <c r="BA88" s="41">
        <f t="shared" si="85"/>
        <v>0</v>
      </c>
      <c r="BB88" s="41">
        <f t="shared" si="86"/>
        <v>2.094972067039106</v>
      </c>
      <c r="BC88" s="41">
        <f t="shared" si="87"/>
        <v>0.6983240223463687</v>
      </c>
      <c r="BD88" s="41">
        <f t="shared" si="88"/>
        <v>12.849162011173185</v>
      </c>
      <c r="BE88" s="24">
        <f t="shared" si="89"/>
        <v>100</v>
      </c>
      <c r="BG88" t="s">
        <v>154</v>
      </c>
      <c r="BH88" t="s">
        <v>108</v>
      </c>
      <c r="BI88" t="s">
        <v>181</v>
      </c>
      <c r="BJ88" s="25">
        <f t="shared" si="90"/>
        <v>3900</v>
      </c>
      <c r="BK88" s="25">
        <f t="shared" si="91"/>
        <v>715</v>
      </c>
      <c r="BL88" s="24">
        <f t="shared" si="92"/>
        <v>49.30167597765363</v>
      </c>
      <c r="BM88" s="24">
        <f t="shared" si="93"/>
        <v>46.50837988826815</v>
      </c>
      <c r="BN88" s="24">
        <f t="shared" si="94"/>
        <v>12.849162011173185</v>
      </c>
    </row>
    <row r="89" spans="2:66" ht="15">
      <c r="B89" s="32" t="s">
        <v>92</v>
      </c>
      <c r="C89" s="32" t="s">
        <v>154</v>
      </c>
      <c r="D89" s="33" t="s">
        <v>108</v>
      </c>
      <c r="E89" s="33" t="s">
        <v>182</v>
      </c>
      <c r="F89" s="34">
        <v>11517</v>
      </c>
      <c r="G89" s="34">
        <v>2351</v>
      </c>
      <c r="H89" s="34">
        <v>1556</v>
      </c>
      <c r="I89" s="34">
        <v>95</v>
      </c>
      <c r="J89" s="34">
        <v>628</v>
      </c>
      <c r="K89" s="34">
        <v>41</v>
      </c>
      <c r="L89" s="34">
        <v>32</v>
      </c>
      <c r="M89" s="35">
        <f t="shared" si="64"/>
        <v>2352</v>
      </c>
      <c r="N89" s="34">
        <v>851</v>
      </c>
      <c r="O89" s="34">
        <v>73</v>
      </c>
      <c r="P89" s="34">
        <v>41</v>
      </c>
      <c r="Q89" s="34">
        <v>0</v>
      </c>
      <c r="R89" s="34">
        <v>756</v>
      </c>
      <c r="S89" s="34">
        <v>629</v>
      </c>
      <c r="T89" s="36">
        <v>2</v>
      </c>
      <c r="U89" s="35">
        <f t="shared" si="65"/>
        <v>2352</v>
      </c>
      <c r="V89" s="35">
        <v>129</v>
      </c>
      <c r="W89" s="35">
        <v>355</v>
      </c>
      <c r="X89" s="35">
        <v>1010</v>
      </c>
      <c r="Y89" s="35">
        <v>0</v>
      </c>
      <c r="Z89" s="35">
        <v>0</v>
      </c>
      <c r="AA89" s="35">
        <v>62</v>
      </c>
      <c r="AB89" s="44">
        <f>795+1</f>
        <v>796</v>
      </c>
      <c r="AC89" s="35">
        <f t="shared" si="66"/>
        <v>2352</v>
      </c>
      <c r="AD89" s="42"/>
      <c r="AF89" t="s">
        <v>154</v>
      </c>
      <c r="AG89" s="37" t="s">
        <v>108</v>
      </c>
      <c r="AH89" s="38" t="s">
        <v>182</v>
      </c>
      <c r="AI89" s="40">
        <f t="shared" si="67"/>
        <v>2351</v>
      </c>
      <c r="AJ89" s="41">
        <f t="shared" si="68"/>
        <v>66.15646258503402</v>
      </c>
      <c r="AK89" s="41">
        <f t="shared" si="69"/>
        <v>4.039115646258503</v>
      </c>
      <c r="AL89" s="41">
        <f t="shared" si="70"/>
        <v>26.700680272108844</v>
      </c>
      <c r="AM89" s="41">
        <f t="shared" si="71"/>
        <v>1.7431972789115644</v>
      </c>
      <c r="AN89" s="41">
        <f t="shared" si="72"/>
        <v>1.3605442176870748</v>
      </c>
      <c r="AO89" s="41">
        <f t="shared" si="73"/>
        <v>100.00000000000001</v>
      </c>
      <c r="AP89" s="41">
        <f t="shared" si="74"/>
        <v>36.18197278911565</v>
      </c>
      <c r="AQ89" s="41">
        <f t="shared" si="75"/>
        <v>3.1037414965986394</v>
      </c>
      <c r="AR89" s="41">
        <f t="shared" si="76"/>
        <v>1.7431972789115644</v>
      </c>
      <c r="AS89" s="41">
        <f t="shared" si="77"/>
        <v>0</v>
      </c>
      <c r="AT89" s="41">
        <f t="shared" si="78"/>
        <v>32.142857142857146</v>
      </c>
      <c r="AU89" s="41">
        <f t="shared" si="79"/>
        <v>26.743197278911563</v>
      </c>
      <c r="AV89" s="41">
        <f t="shared" si="80"/>
        <v>0.08503401360544217</v>
      </c>
      <c r="AW89" s="41">
        <f t="shared" si="81"/>
        <v>100</v>
      </c>
      <c r="AX89" s="41">
        <f t="shared" si="82"/>
        <v>5.48469387755102</v>
      </c>
      <c r="AY89" s="41">
        <f t="shared" si="83"/>
        <v>15.093537414965985</v>
      </c>
      <c r="AZ89" s="41">
        <f t="shared" si="84"/>
        <v>42.9421768707483</v>
      </c>
      <c r="BA89" s="41">
        <f t="shared" si="85"/>
        <v>0</v>
      </c>
      <c r="BB89" s="41">
        <f t="shared" si="86"/>
        <v>0</v>
      </c>
      <c r="BC89" s="41">
        <f t="shared" si="87"/>
        <v>2.6360544217687076</v>
      </c>
      <c r="BD89" s="41">
        <f t="shared" si="88"/>
        <v>33.843537414965986</v>
      </c>
      <c r="BE89" s="24">
        <f t="shared" si="89"/>
        <v>100</v>
      </c>
      <c r="BG89" t="s">
        <v>154</v>
      </c>
      <c r="BH89" t="s">
        <v>108</v>
      </c>
      <c r="BI89" t="s">
        <v>182</v>
      </c>
      <c r="BJ89" s="25">
        <f t="shared" si="90"/>
        <v>11517</v>
      </c>
      <c r="BK89" s="25">
        <f t="shared" si="91"/>
        <v>2351</v>
      </c>
      <c r="BL89" s="24">
        <f t="shared" si="92"/>
        <v>33.84353741496599</v>
      </c>
      <c r="BM89" s="24">
        <f t="shared" si="93"/>
        <v>63.81802721088436</v>
      </c>
      <c r="BN89" s="24">
        <f t="shared" si="94"/>
        <v>33.843537414965986</v>
      </c>
    </row>
    <row r="90" spans="2:66" ht="15">
      <c r="B90" s="32" t="s">
        <v>92</v>
      </c>
      <c r="C90" s="32" t="s">
        <v>154</v>
      </c>
      <c r="D90" s="33" t="s">
        <v>115</v>
      </c>
      <c r="E90" s="33" t="s">
        <v>183</v>
      </c>
      <c r="F90" s="34">
        <v>7395</v>
      </c>
      <c r="G90" s="34">
        <v>1582</v>
      </c>
      <c r="H90" s="34">
        <v>1141</v>
      </c>
      <c r="I90" s="34">
        <v>87</v>
      </c>
      <c r="J90" s="34">
        <v>356</v>
      </c>
      <c r="K90" s="34">
        <v>0</v>
      </c>
      <c r="L90" s="34">
        <v>0</v>
      </c>
      <c r="M90" s="35">
        <f t="shared" si="64"/>
        <v>1584</v>
      </c>
      <c r="N90" s="34">
        <v>527</v>
      </c>
      <c r="O90" s="34">
        <v>79</v>
      </c>
      <c r="P90" s="34">
        <v>18</v>
      </c>
      <c r="Q90" s="34">
        <v>43</v>
      </c>
      <c r="R90" s="34">
        <v>190</v>
      </c>
      <c r="S90" s="34">
        <v>725</v>
      </c>
      <c r="T90" s="36">
        <v>2</v>
      </c>
      <c r="U90" s="35">
        <f t="shared" si="65"/>
        <v>1584</v>
      </c>
      <c r="V90" s="35">
        <v>27</v>
      </c>
      <c r="W90" s="35">
        <v>114</v>
      </c>
      <c r="X90" s="35">
        <v>896</v>
      </c>
      <c r="Y90" s="35">
        <v>0</v>
      </c>
      <c r="Z90" s="35">
        <v>0</v>
      </c>
      <c r="AA90" s="35">
        <v>36</v>
      </c>
      <c r="AB90" s="44">
        <f>510+1</f>
        <v>511</v>
      </c>
      <c r="AC90" s="35">
        <f t="shared" si="66"/>
        <v>1584</v>
      </c>
      <c r="AD90" s="42"/>
      <c r="AF90" t="s">
        <v>154</v>
      </c>
      <c r="AG90" s="37" t="s">
        <v>115</v>
      </c>
      <c r="AH90" s="38" t="s">
        <v>183</v>
      </c>
      <c r="AI90" s="40">
        <f t="shared" si="67"/>
        <v>1582</v>
      </c>
      <c r="AJ90" s="41">
        <f t="shared" si="68"/>
        <v>72.03282828282829</v>
      </c>
      <c r="AK90" s="41">
        <f t="shared" si="69"/>
        <v>5.492424242424242</v>
      </c>
      <c r="AL90" s="41">
        <f t="shared" si="70"/>
        <v>22.474747474747474</v>
      </c>
      <c r="AM90" s="41">
        <f t="shared" si="71"/>
        <v>0</v>
      </c>
      <c r="AN90" s="41">
        <f t="shared" si="72"/>
        <v>0</v>
      </c>
      <c r="AO90" s="41">
        <f t="shared" si="73"/>
        <v>100.00000000000001</v>
      </c>
      <c r="AP90" s="41">
        <f t="shared" si="74"/>
        <v>33.27020202020202</v>
      </c>
      <c r="AQ90" s="41">
        <f t="shared" si="75"/>
        <v>4.987373737373738</v>
      </c>
      <c r="AR90" s="41">
        <f t="shared" si="76"/>
        <v>1.1363636363636365</v>
      </c>
      <c r="AS90" s="41">
        <f t="shared" si="77"/>
        <v>2.714646464646465</v>
      </c>
      <c r="AT90" s="41">
        <f t="shared" si="78"/>
        <v>11.994949494949495</v>
      </c>
      <c r="AU90" s="41">
        <f t="shared" si="79"/>
        <v>45.77020202020202</v>
      </c>
      <c r="AV90" s="41">
        <f t="shared" si="80"/>
        <v>0.12626262626262627</v>
      </c>
      <c r="AW90" s="41">
        <f t="shared" si="81"/>
        <v>100</v>
      </c>
      <c r="AX90" s="41">
        <f t="shared" si="82"/>
        <v>1.7045454545454544</v>
      </c>
      <c r="AY90" s="41">
        <f t="shared" si="83"/>
        <v>7.196969696969697</v>
      </c>
      <c r="AZ90" s="41">
        <f t="shared" si="84"/>
        <v>56.56565656565656</v>
      </c>
      <c r="BA90" s="41">
        <f t="shared" si="85"/>
        <v>0</v>
      </c>
      <c r="BB90" s="41">
        <f t="shared" si="86"/>
        <v>0</v>
      </c>
      <c r="BC90" s="41">
        <f t="shared" si="87"/>
        <v>2.272727272727273</v>
      </c>
      <c r="BD90" s="41">
        <f t="shared" si="88"/>
        <v>32.26010101010101</v>
      </c>
      <c r="BE90" s="24">
        <f t="shared" si="89"/>
        <v>99.99999999999999</v>
      </c>
      <c r="BG90" t="s">
        <v>154</v>
      </c>
      <c r="BH90" t="s">
        <v>115</v>
      </c>
      <c r="BI90" t="s">
        <v>183</v>
      </c>
      <c r="BJ90" s="25">
        <f t="shared" si="90"/>
        <v>7395</v>
      </c>
      <c r="BK90" s="25">
        <f t="shared" si="91"/>
        <v>1582</v>
      </c>
      <c r="BL90" s="24">
        <f t="shared" si="92"/>
        <v>27.967171717171716</v>
      </c>
      <c r="BM90" s="24">
        <f t="shared" si="93"/>
        <v>66.729797979798</v>
      </c>
      <c r="BN90" s="24">
        <f t="shared" si="94"/>
        <v>32.26010101010101</v>
      </c>
    </row>
    <row r="91" spans="2:66" ht="15">
      <c r="B91" s="32" t="s">
        <v>92</v>
      </c>
      <c r="C91" s="32" t="s">
        <v>154</v>
      </c>
      <c r="D91" s="33" t="s">
        <v>184</v>
      </c>
      <c r="E91" s="33" t="s">
        <v>185</v>
      </c>
      <c r="F91" s="35">
        <v>16520</v>
      </c>
      <c r="G91" s="35">
        <v>3275</v>
      </c>
      <c r="H91" s="35">
        <v>2614</v>
      </c>
      <c r="I91" s="35">
        <v>173</v>
      </c>
      <c r="J91" s="35">
        <v>386</v>
      </c>
      <c r="K91" s="35">
        <v>101</v>
      </c>
      <c r="L91" s="35">
        <v>0</v>
      </c>
      <c r="M91" s="35">
        <f t="shared" si="64"/>
        <v>3274</v>
      </c>
      <c r="N91" s="35">
        <v>1163</v>
      </c>
      <c r="O91" s="35">
        <v>332</v>
      </c>
      <c r="P91" s="35">
        <v>70</v>
      </c>
      <c r="Q91" s="35">
        <v>0</v>
      </c>
      <c r="R91" s="35">
        <v>1497</v>
      </c>
      <c r="S91" s="35">
        <v>211</v>
      </c>
      <c r="T91" s="44">
        <v>1</v>
      </c>
      <c r="U91" s="35">
        <f t="shared" si="65"/>
        <v>3274</v>
      </c>
      <c r="V91" s="35">
        <v>194</v>
      </c>
      <c r="W91" s="35">
        <v>218</v>
      </c>
      <c r="X91" s="35">
        <v>2515</v>
      </c>
      <c r="Y91" s="35">
        <v>0</v>
      </c>
      <c r="Z91" s="35">
        <v>0</v>
      </c>
      <c r="AA91" s="35">
        <v>57</v>
      </c>
      <c r="AB91" s="44">
        <f>289+1</f>
        <v>290</v>
      </c>
      <c r="AC91" s="35">
        <f t="shared" si="66"/>
        <v>3274</v>
      </c>
      <c r="AD91" s="42"/>
      <c r="AF91" t="s">
        <v>154</v>
      </c>
      <c r="AG91" s="37" t="s">
        <v>184</v>
      </c>
      <c r="AH91" s="38" t="s">
        <v>185</v>
      </c>
      <c r="AI91" s="40">
        <f t="shared" si="67"/>
        <v>3275</v>
      </c>
      <c r="AJ91" s="41">
        <f t="shared" si="68"/>
        <v>79.84117287721442</v>
      </c>
      <c r="AK91" s="41">
        <f t="shared" si="69"/>
        <v>5.284056200366524</v>
      </c>
      <c r="AL91" s="41">
        <f t="shared" si="70"/>
        <v>11.78985949908369</v>
      </c>
      <c r="AM91" s="41">
        <f t="shared" si="71"/>
        <v>3.0849114233353694</v>
      </c>
      <c r="AN91" s="41">
        <f t="shared" si="72"/>
        <v>0</v>
      </c>
      <c r="AO91" s="41">
        <f t="shared" si="73"/>
        <v>100</v>
      </c>
      <c r="AP91" s="41">
        <f t="shared" si="74"/>
        <v>35.5222968845449</v>
      </c>
      <c r="AQ91" s="41">
        <f t="shared" si="75"/>
        <v>10.140500916310325</v>
      </c>
      <c r="AR91" s="41">
        <f t="shared" si="76"/>
        <v>2.138057422113622</v>
      </c>
      <c r="AS91" s="41">
        <f t="shared" si="77"/>
        <v>0</v>
      </c>
      <c r="AT91" s="41">
        <f t="shared" si="78"/>
        <v>45.723885155772756</v>
      </c>
      <c r="AU91" s="41">
        <f t="shared" si="79"/>
        <v>6.4447159437996335</v>
      </c>
      <c r="AV91" s="41">
        <f t="shared" si="80"/>
        <v>0.030543677458766037</v>
      </c>
      <c r="AW91" s="41">
        <f t="shared" si="81"/>
        <v>100</v>
      </c>
      <c r="AX91" s="41">
        <f t="shared" si="82"/>
        <v>5.925473427000611</v>
      </c>
      <c r="AY91" s="41">
        <f t="shared" si="83"/>
        <v>6.658521686010996</v>
      </c>
      <c r="AZ91" s="41">
        <f t="shared" si="84"/>
        <v>76.81734880879658</v>
      </c>
      <c r="BA91" s="41">
        <f t="shared" si="85"/>
        <v>0</v>
      </c>
      <c r="BB91" s="41">
        <f t="shared" si="86"/>
        <v>0</v>
      </c>
      <c r="BC91" s="41">
        <f t="shared" si="87"/>
        <v>1.740989615149664</v>
      </c>
      <c r="BD91" s="41">
        <f t="shared" si="88"/>
        <v>8.85766646304215</v>
      </c>
      <c r="BE91" s="24">
        <f t="shared" si="89"/>
        <v>100</v>
      </c>
      <c r="BG91" t="s">
        <v>154</v>
      </c>
      <c r="BH91" t="s">
        <v>184</v>
      </c>
      <c r="BI91" t="s">
        <v>185</v>
      </c>
      <c r="BJ91" s="25">
        <f t="shared" si="90"/>
        <v>16520</v>
      </c>
      <c r="BK91" s="25">
        <f t="shared" si="91"/>
        <v>3275</v>
      </c>
      <c r="BL91" s="24">
        <f t="shared" si="92"/>
        <v>20.158827122785585</v>
      </c>
      <c r="BM91" s="24">
        <f t="shared" si="93"/>
        <v>64.4777031154551</v>
      </c>
      <c r="BN91" s="24">
        <f t="shared" si="94"/>
        <v>8.85766646304215</v>
      </c>
    </row>
    <row r="92" spans="2:66" ht="15">
      <c r="B92" s="32" t="s">
        <v>92</v>
      </c>
      <c r="C92" s="32" t="s">
        <v>186</v>
      </c>
      <c r="D92" s="33" t="s">
        <v>97</v>
      </c>
      <c r="E92" s="33" t="s">
        <v>97</v>
      </c>
      <c r="F92" s="35">
        <v>30217</v>
      </c>
      <c r="G92" s="35">
        <v>7260</v>
      </c>
      <c r="H92" s="35">
        <v>6451</v>
      </c>
      <c r="I92" s="35">
        <v>259</v>
      </c>
      <c r="J92" s="35">
        <v>346</v>
      </c>
      <c r="K92" s="35">
        <v>193</v>
      </c>
      <c r="L92" s="35">
        <v>11</v>
      </c>
      <c r="M92" s="35">
        <f t="shared" si="64"/>
        <v>7260</v>
      </c>
      <c r="N92" s="35">
        <v>4695</v>
      </c>
      <c r="O92" s="35">
        <v>349</v>
      </c>
      <c r="P92" s="35">
        <v>416</v>
      </c>
      <c r="Q92" s="35">
        <v>448</v>
      </c>
      <c r="R92" s="35">
        <v>1125</v>
      </c>
      <c r="S92" s="35">
        <v>226</v>
      </c>
      <c r="T92" s="44">
        <v>1</v>
      </c>
      <c r="U92" s="35">
        <f t="shared" si="65"/>
        <v>7260</v>
      </c>
      <c r="V92" s="35">
        <v>2309</v>
      </c>
      <c r="W92" s="35">
        <v>386</v>
      </c>
      <c r="X92" s="35">
        <v>3668</v>
      </c>
      <c r="Y92" s="35">
        <v>219</v>
      </c>
      <c r="Z92" s="35">
        <v>15</v>
      </c>
      <c r="AA92" s="35">
        <v>375</v>
      </c>
      <c r="AB92" s="35">
        <v>288</v>
      </c>
      <c r="AC92" s="35">
        <f t="shared" si="66"/>
        <v>7260</v>
      </c>
      <c r="AD92" s="42"/>
      <c r="AF92" t="s">
        <v>186</v>
      </c>
      <c r="AG92" s="37" t="s">
        <v>97</v>
      </c>
      <c r="AH92" s="38" t="s">
        <v>97</v>
      </c>
      <c r="AI92" s="40">
        <f t="shared" si="67"/>
        <v>7260</v>
      </c>
      <c r="AJ92" s="41">
        <f t="shared" si="68"/>
        <v>88.85674931129476</v>
      </c>
      <c r="AK92" s="41">
        <f t="shared" si="69"/>
        <v>3.567493112947658</v>
      </c>
      <c r="AL92" s="41">
        <f t="shared" si="70"/>
        <v>4.765840220385675</v>
      </c>
      <c r="AM92" s="41">
        <f t="shared" si="71"/>
        <v>2.658402203856749</v>
      </c>
      <c r="AN92" s="41">
        <f t="shared" si="72"/>
        <v>0.15151515151515152</v>
      </c>
      <c r="AO92" s="41">
        <f t="shared" si="73"/>
        <v>100</v>
      </c>
      <c r="AP92" s="41">
        <f t="shared" si="74"/>
        <v>64.6694214876033</v>
      </c>
      <c r="AQ92" s="41">
        <f t="shared" si="75"/>
        <v>4.807162534435261</v>
      </c>
      <c r="AR92" s="41">
        <f t="shared" si="76"/>
        <v>5.7300275482093666</v>
      </c>
      <c r="AS92" s="41">
        <f t="shared" si="77"/>
        <v>6.1707988980716255</v>
      </c>
      <c r="AT92" s="41">
        <f t="shared" si="78"/>
        <v>15.495867768595042</v>
      </c>
      <c r="AU92" s="41">
        <f t="shared" si="79"/>
        <v>3.112947658402204</v>
      </c>
      <c r="AV92" s="41">
        <f t="shared" si="80"/>
        <v>0.013774104683195591</v>
      </c>
      <c r="AW92" s="41">
        <f t="shared" si="81"/>
        <v>100</v>
      </c>
      <c r="AX92" s="41">
        <f t="shared" si="82"/>
        <v>31.804407713498623</v>
      </c>
      <c r="AY92" s="41">
        <f t="shared" si="83"/>
        <v>5.316804407713498</v>
      </c>
      <c r="AZ92" s="41">
        <f t="shared" si="84"/>
        <v>50.52341597796143</v>
      </c>
      <c r="BA92" s="41">
        <f t="shared" si="85"/>
        <v>3.0165289256198347</v>
      </c>
      <c r="BB92" s="41">
        <f t="shared" si="86"/>
        <v>0.2066115702479339</v>
      </c>
      <c r="BC92" s="41">
        <f t="shared" si="87"/>
        <v>5.1652892561983474</v>
      </c>
      <c r="BD92" s="41">
        <f t="shared" si="88"/>
        <v>3.9669421487603307</v>
      </c>
      <c r="BE92" s="24">
        <f t="shared" si="89"/>
        <v>100</v>
      </c>
      <c r="BG92" t="s">
        <v>186</v>
      </c>
      <c r="BH92" t="s">
        <v>97</v>
      </c>
      <c r="BI92" t="s">
        <v>97</v>
      </c>
      <c r="BJ92" s="25">
        <f t="shared" si="90"/>
        <v>30217</v>
      </c>
      <c r="BK92" s="25">
        <f t="shared" si="91"/>
        <v>7260</v>
      </c>
      <c r="BL92" s="24">
        <f t="shared" si="92"/>
        <v>11.143250688705233</v>
      </c>
      <c r="BM92" s="24">
        <f t="shared" si="93"/>
        <v>35.33057851239669</v>
      </c>
      <c r="BN92" s="24">
        <f t="shared" si="94"/>
        <v>3.9669421487603307</v>
      </c>
    </row>
    <row r="93" spans="2:66" ht="15">
      <c r="B93" s="32" t="s">
        <v>92</v>
      </c>
      <c r="C93" s="32" t="s">
        <v>186</v>
      </c>
      <c r="D93" s="33" t="s">
        <v>137</v>
      </c>
      <c r="E93" s="33" t="s">
        <v>187</v>
      </c>
      <c r="F93" s="34">
        <v>7130</v>
      </c>
      <c r="G93" s="34">
        <v>1497</v>
      </c>
      <c r="H93" s="34">
        <v>972</v>
      </c>
      <c r="I93" s="34">
        <v>38</v>
      </c>
      <c r="J93" s="34">
        <v>476</v>
      </c>
      <c r="K93" s="34">
        <v>9</v>
      </c>
      <c r="L93" s="34">
        <v>0</v>
      </c>
      <c r="M93" s="35">
        <f t="shared" si="64"/>
        <v>1495</v>
      </c>
      <c r="N93" s="34">
        <v>446</v>
      </c>
      <c r="O93" s="34">
        <v>62</v>
      </c>
      <c r="P93" s="34">
        <v>258</v>
      </c>
      <c r="Q93" s="34">
        <v>0</v>
      </c>
      <c r="R93" s="34">
        <v>499</v>
      </c>
      <c r="S93" s="36">
        <f>231-1</f>
        <v>230</v>
      </c>
      <c r="T93" s="34">
        <v>0</v>
      </c>
      <c r="U93" s="35">
        <f t="shared" si="65"/>
        <v>1495</v>
      </c>
      <c r="V93" s="35">
        <v>9</v>
      </c>
      <c r="W93" s="35">
        <v>273</v>
      </c>
      <c r="X93" s="35">
        <v>529</v>
      </c>
      <c r="Y93" s="35">
        <v>0</v>
      </c>
      <c r="Z93" s="35">
        <v>0</v>
      </c>
      <c r="AA93" s="35">
        <v>0</v>
      </c>
      <c r="AB93" s="44">
        <f>686-2</f>
        <v>684</v>
      </c>
      <c r="AC93" s="35">
        <f t="shared" si="66"/>
        <v>1495</v>
      </c>
      <c r="AD93" s="42"/>
      <c r="AF93" t="s">
        <v>186</v>
      </c>
      <c r="AG93" s="37" t="s">
        <v>137</v>
      </c>
      <c r="AH93" s="38" t="s">
        <v>187</v>
      </c>
      <c r="AI93" s="40">
        <f t="shared" si="67"/>
        <v>1497</v>
      </c>
      <c r="AJ93" s="41">
        <f t="shared" si="68"/>
        <v>65.01672240802677</v>
      </c>
      <c r="AK93" s="41">
        <f t="shared" si="69"/>
        <v>2.5418060200668897</v>
      </c>
      <c r="AL93" s="41">
        <f t="shared" si="70"/>
        <v>31.83946488294314</v>
      </c>
      <c r="AM93" s="41">
        <f t="shared" si="71"/>
        <v>0.6020066889632106</v>
      </c>
      <c r="AN93" s="41">
        <f t="shared" si="72"/>
        <v>0</v>
      </c>
      <c r="AO93" s="41">
        <f t="shared" si="73"/>
        <v>100.00000000000001</v>
      </c>
      <c r="AP93" s="41">
        <f t="shared" si="74"/>
        <v>29.83277591973244</v>
      </c>
      <c r="AQ93" s="41">
        <f t="shared" si="75"/>
        <v>4.147157190635451</v>
      </c>
      <c r="AR93" s="41">
        <f t="shared" si="76"/>
        <v>17.25752508361204</v>
      </c>
      <c r="AS93" s="41">
        <f t="shared" si="77"/>
        <v>0</v>
      </c>
      <c r="AT93" s="41">
        <f t="shared" si="78"/>
        <v>33.37792642140468</v>
      </c>
      <c r="AU93" s="41">
        <f t="shared" si="79"/>
        <v>15.384615384615385</v>
      </c>
      <c r="AV93" s="41">
        <f t="shared" si="80"/>
        <v>0</v>
      </c>
      <c r="AW93" s="41">
        <f t="shared" si="81"/>
        <v>100</v>
      </c>
      <c r="AX93" s="41">
        <f t="shared" si="82"/>
        <v>0.6020066889632106</v>
      </c>
      <c r="AY93" s="41">
        <f t="shared" si="83"/>
        <v>18.26086956521739</v>
      </c>
      <c r="AZ93" s="41">
        <f t="shared" si="84"/>
        <v>35.38461538461539</v>
      </c>
      <c r="BA93" s="41">
        <f t="shared" si="85"/>
        <v>0</v>
      </c>
      <c r="BB93" s="41">
        <f t="shared" si="86"/>
        <v>0</v>
      </c>
      <c r="BC93" s="41">
        <f t="shared" si="87"/>
        <v>0</v>
      </c>
      <c r="BD93" s="41">
        <f t="shared" si="88"/>
        <v>45.752508361204015</v>
      </c>
      <c r="BE93" s="24">
        <f t="shared" si="89"/>
        <v>100</v>
      </c>
      <c r="BG93" t="s">
        <v>186</v>
      </c>
      <c r="BH93" t="s">
        <v>137</v>
      </c>
      <c r="BI93" t="s">
        <v>187</v>
      </c>
      <c r="BJ93" s="25">
        <f t="shared" si="90"/>
        <v>7130</v>
      </c>
      <c r="BK93" s="25">
        <f t="shared" si="91"/>
        <v>1497</v>
      </c>
      <c r="BL93" s="24">
        <f t="shared" si="92"/>
        <v>34.98327759197324</v>
      </c>
      <c r="BM93" s="24">
        <f t="shared" si="93"/>
        <v>70.16722408026756</v>
      </c>
      <c r="BN93" s="24">
        <f t="shared" si="94"/>
        <v>45.752508361204015</v>
      </c>
    </row>
    <row r="94" spans="2:66" ht="15">
      <c r="B94" s="32" t="s">
        <v>92</v>
      </c>
      <c r="C94" s="32" t="s">
        <v>186</v>
      </c>
      <c r="D94" s="33" t="s">
        <v>137</v>
      </c>
      <c r="E94" t="s">
        <v>188</v>
      </c>
      <c r="F94" s="46">
        <v>27554</v>
      </c>
      <c r="G94" s="46">
        <v>6375</v>
      </c>
      <c r="H94" s="46">
        <v>5469</v>
      </c>
      <c r="I94" s="46">
        <v>316</v>
      </c>
      <c r="J94" s="46">
        <v>547</v>
      </c>
      <c r="K94" s="46">
        <v>43</v>
      </c>
      <c r="L94" s="46">
        <v>0</v>
      </c>
      <c r="M94" s="47">
        <f t="shared" si="64"/>
        <v>6375</v>
      </c>
      <c r="N94" s="46">
        <v>1597</v>
      </c>
      <c r="O94" s="46">
        <v>474</v>
      </c>
      <c r="P94" s="46">
        <v>165</v>
      </c>
      <c r="Q94" s="46">
        <v>269</v>
      </c>
      <c r="R94" s="46">
        <v>2871</v>
      </c>
      <c r="S94" s="46">
        <v>985</v>
      </c>
      <c r="T94" s="46">
        <v>14</v>
      </c>
      <c r="U94" s="47">
        <f t="shared" si="65"/>
        <v>6375</v>
      </c>
      <c r="V94" s="47">
        <v>433</v>
      </c>
      <c r="W94" s="47">
        <v>948</v>
      </c>
      <c r="X94" s="47">
        <v>3832</v>
      </c>
      <c r="Y94" s="47">
        <v>87</v>
      </c>
      <c r="Z94" s="47">
        <v>43</v>
      </c>
      <c r="AA94" s="47">
        <v>107</v>
      </c>
      <c r="AB94" s="48">
        <f>923+2</f>
        <v>925</v>
      </c>
      <c r="AC94" s="47">
        <f t="shared" si="66"/>
        <v>6375</v>
      </c>
      <c r="AD94" s="42"/>
      <c r="AF94" t="s">
        <v>186</v>
      </c>
      <c r="AG94" s="37" t="s">
        <v>137</v>
      </c>
      <c r="AH94" s="38" t="s">
        <v>188</v>
      </c>
      <c r="AI94" s="40">
        <f t="shared" si="67"/>
        <v>6375</v>
      </c>
      <c r="AJ94" s="41">
        <f t="shared" si="68"/>
        <v>85.78823529411764</v>
      </c>
      <c r="AK94" s="41">
        <f t="shared" si="69"/>
        <v>4.9568627450980385</v>
      </c>
      <c r="AL94" s="41">
        <f t="shared" si="70"/>
        <v>8.580392156862745</v>
      </c>
      <c r="AM94" s="41">
        <f t="shared" si="71"/>
        <v>0.6745098039215686</v>
      </c>
      <c r="AN94" s="41">
        <f t="shared" si="72"/>
        <v>0</v>
      </c>
      <c r="AO94" s="41">
        <f t="shared" si="73"/>
        <v>99.99999999999999</v>
      </c>
      <c r="AP94" s="41">
        <f t="shared" si="74"/>
        <v>25.050980392156863</v>
      </c>
      <c r="AQ94" s="41">
        <f t="shared" si="75"/>
        <v>7.435294117647059</v>
      </c>
      <c r="AR94" s="41">
        <f t="shared" si="76"/>
        <v>2.588235294117647</v>
      </c>
      <c r="AS94" s="41">
        <f t="shared" si="77"/>
        <v>4.219607843137255</v>
      </c>
      <c r="AT94" s="41">
        <f t="shared" si="78"/>
        <v>45.035294117647055</v>
      </c>
      <c r="AU94" s="41">
        <f t="shared" si="79"/>
        <v>15.450980392156863</v>
      </c>
      <c r="AV94" s="41">
        <f t="shared" si="80"/>
        <v>0.2196078431372549</v>
      </c>
      <c r="AW94" s="41">
        <f t="shared" si="81"/>
        <v>99.99999999999999</v>
      </c>
      <c r="AX94" s="41">
        <f t="shared" si="82"/>
        <v>6.792156862745098</v>
      </c>
      <c r="AY94" s="41">
        <f t="shared" si="83"/>
        <v>14.870588235294118</v>
      </c>
      <c r="AZ94" s="41">
        <f t="shared" si="84"/>
        <v>60.10980392156863</v>
      </c>
      <c r="BA94" s="41">
        <f t="shared" si="85"/>
        <v>1.3647058823529412</v>
      </c>
      <c r="BB94" s="41">
        <f t="shared" si="86"/>
        <v>0.6745098039215686</v>
      </c>
      <c r="BC94" s="41">
        <f t="shared" si="87"/>
        <v>1.6784313725490199</v>
      </c>
      <c r="BD94" s="41">
        <f t="shared" si="88"/>
        <v>14.50980392156863</v>
      </c>
      <c r="BE94" s="24">
        <f t="shared" si="89"/>
        <v>100</v>
      </c>
      <c r="BG94" t="s">
        <v>186</v>
      </c>
      <c r="BH94" t="s">
        <v>137</v>
      </c>
      <c r="BI94" t="s">
        <v>188</v>
      </c>
      <c r="BJ94" s="25">
        <f t="shared" si="90"/>
        <v>27554</v>
      </c>
      <c r="BK94" s="25">
        <f t="shared" si="91"/>
        <v>6375</v>
      </c>
      <c r="BL94" s="24">
        <f t="shared" si="92"/>
        <v>14.21176470588235</v>
      </c>
      <c r="BM94" s="24">
        <f t="shared" si="93"/>
        <v>74.94901960784313</v>
      </c>
      <c r="BN94" s="24">
        <f t="shared" si="94"/>
        <v>14.50980392156863</v>
      </c>
    </row>
    <row r="95" spans="2:66" ht="15">
      <c r="B95" s="32" t="s">
        <v>92</v>
      </c>
      <c r="C95" s="32" t="s">
        <v>186</v>
      </c>
      <c r="D95" s="33" t="s">
        <v>108</v>
      </c>
      <c r="E95" s="33" t="s">
        <v>189</v>
      </c>
      <c r="F95" s="34">
        <v>10468</v>
      </c>
      <c r="G95" s="34">
        <v>2401</v>
      </c>
      <c r="H95" s="34">
        <v>2098</v>
      </c>
      <c r="I95" s="34">
        <v>65</v>
      </c>
      <c r="J95" s="34">
        <v>207</v>
      </c>
      <c r="K95" s="34">
        <v>19</v>
      </c>
      <c r="L95" s="34">
        <v>12</v>
      </c>
      <c r="M95" s="35">
        <f t="shared" si="64"/>
        <v>2401</v>
      </c>
      <c r="N95" s="34">
        <v>756</v>
      </c>
      <c r="O95" s="34">
        <v>173</v>
      </c>
      <c r="P95" s="34">
        <v>38</v>
      </c>
      <c r="Q95" s="34">
        <v>250</v>
      </c>
      <c r="R95" s="34">
        <v>892</v>
      </c>
      <c r="S95" s="34">
        <v>292</v>
      </c>
      <c r="T95" s="34">
        <v>0</v>
      </c>
      <c r="U95" s="35">
        <f t="shared" si="65"/>
        <v>2401</v>
      </c>
      <c r="V95" s="35">
        <v>342</v>
      </c>
      <c r="W95" s="35">
        <v>276</v>
      </c>
      <c r="X95" s="35">
        <v>1215</v>
      </c>
      <c r="Y95" s="35">
        <v>0</v>
      </c>
      <c r="Z95" s="35">
        <v>0</v>
      </c>
      <c r="AA95" s="35">
        <v>97</v>
      </c>
      <c r="AB95" s="44">
        <f>472-1</f>
        <v>471</v>
      </c>
      <c r="AC95" s="35">
        <f t="shared" si="66"/>
        <v>2401</v>
      </c>
      <c r="AD95" s="42"/>
      <c r="AF95" t="s">
        <v>186</v>
      </c>
      <c r="AG95" s="37" t="s">
        <v>108</v>
      </c>
      <c r="AH95" s="38" t="s">
        <v>189</v>
      </c>
      <c r="AI95" s="40">
        <f t="shared" si="67"/>
        <v>2401</v>
      </c>
      <c r="AJ95" s="41">
        <f t="shared" si="68"/>
        <v>87.38025822573927</v>
      </c>
      <c r="AK95" s="41">
        <f t="shared" si="69"/>
        <v>2.707205331112037</v>
      </c>
      <c r="AL95" s="41">
        <f t="shared" si="70"/>
        <v>8.621407746772178</v>
      </c>
      <c r="AM95" s="41">
        <f t="shared" si="71"/>
        <v>0.7913369429404414</v>
      </c>
      <c r="AN95" s="41">
        <f t="shared" si="72"/>
        <v>0.49979175343606835</v>
      </c>
      <c r="AO95" s="41">
        <f t="shared" si="73"/>
        <v>100</v>
      </c>
      <c r="AP95" s="41">
        <f t="shared" si="74"/>
        <v>31.486880466472307</v>
      </c>
      <c r="AQ95" s="41">
        <f t="shared" si="75"/>
        <v>7.205331112036652</v>
      </c>
      <c r="AR95" s="41">
        <f t="shared" si="76"/>
        <v>1.5826738858808829</v>
      </c>
      <c r="AS95" s="41">
        <f t="shared" si="77"/>
        <v>10.412328196584756</v>
      </c>
      <c r="AT95" s="41">
        <f t="shared" si="78"/>
        <v>37.15118700541441</v>
      </c>
      <c r="AU95" s="41">
        <f t="shared" si="79"/>
        <v>12.161599333610996</v>
      </c>
      <c r="AV95" s="41">
        <f t="shared" si="80"/>
        <v>0</v>
      </c>
      <c r="AW95" s="41">
        <f t="shared" si="81"/>
        <v>99.99999999999999</v>
      </c>
      <c r="AX95" s="41">
        <f t="shared" si="82"/>
        <v>14.244064972927948</v>
      </c>
      <c r="AY95" s="41">
        <f t="shared" si="83"/>
        <v>11.49521032902957</v>
      </c>
      <c r="AZ95" s="41">
        <f t="shared" si="84"/>
        <v>50.60391503540191</v>
      </c>
      <c r="BA95" s="41">
        <f t="shared" si="85"/>
        <v>0</v>
      </c>
      <c r="BB95" s="41">
        <f t="shared" si="86"/>
        <v>0</v>
      </c>
      <c r="BC95" s="41">
        <f t="shared" si="87"/>
        <v>4.039983340274885</v>
      </c>
      <c r="BD95" s="41">
        <f t="shared" si="88"/>
        <v>19.61682632236568</v>
      </c>
      <c r="BE95" s="24">
        <f t="shared" si="89"/>
        <v>100</v>
      </c>
      <c r="BG95" t="s">
        <v>186</v>
      </c>
      <c r="BH95" t="s">
        <v>108</v>
      </c>
      <c r="BI95" t="s">
        <v>189</v>
      </c>
      <c r="BJ95" s="25">
        <f t="shared" si="90"/>
        <v>10468</v>
      </c>
      <c r="BK95" s="25">
        <f t="shared" si="91"/>
        <v>2401</v>
      </c>
      <c r="BL95" s="24">
        <f t="shared" si="92"/>
        <v>12.619741774260726</v>
      </c>
      <c r="BM95" s="24">
        <f t="shared" si="93"/>
        <v>68.5131195335277</v>
      </c>
      <c r="BN95" s="24">
        <f t="shared" si="94"/>
        <v>19.61682632236568</v>
      </c>
    </row>
    <row r="96" spans="2:66" ht="15">
      <c r="B96" s="49" t="s">
        <v>92</v>
      </c>
      <c r="C96" s="49" t="s">
        <v>186</v>
      </c>
      <c r="D96" s="50" t="s">
        <v>108</v>
      </c>
      <c r="E96" s="50" t="s">
        <v>190</v>
      </c>
      <c r="F96" s="34">
        <v>3755</v>
      </c>
      <c r="G96" s="34">
        <v>861</v>
      </c>
      <c r="H96" s="34">
        <v>489</v>
      </c>
      <c r="I96" s="34">
        <v>23</v>
      </c>
      <c r="J96" s="34">
        <v>313</v>
      </c>
      <c r="K96" s="34">
        <v>34</v>
      </c>
      <c r="L96" s="34">
        <v>0</v>
      </c>
      <c r="M96" s="35">
        <f t="shared" si="64"/>
        <v>859</v>
      </c>
      <c r="N96" s="34">
        <v>310</v>
      </c>
      <c r="O96" s="34">
        <v>188</v>
      </c>
      <c r="P96" s="34">
        <v>6</v>
      </c>
      <c r="Q96" s="34">
        <v>17</v>
      </c>
      <c r="R96" s="34">
        <v>265</v>
      </c>
      <c r="S96" s="34">
        <v>69</v>
      </c>
      <c r="T96" s="36">
        <f>6-2</f>
        <v>4</v>
      </c>
      <c r="U96" s="35">
        <f t="shared" si="65"/>
        <v>859</v>
      </c>
      <c r="V96" s="35">
        <v>76</v>
      </c>
      <c r="W96" s="35">
        <v>76</v>
      </c>
      <c r="X96" s="35">
        <v>454</v>
      </c>
      <c r="Y96" s="35">
        <v>3</v>
      </c>
      <c r="Z96" s="35">
        <v>6</v>
      </c>
      <c r="AA96" s="35">
        <v>11</v>
      </c>
      <c r="AB96" s="35">
        <v>233</v>
      </c>
      <c r="AC96" s="35">
        <f t="shared" si="66"/>
        <v>859</v>
      </c>
      <c r="AD96" s="42"/>
      <c r="AF96" t="s">
        <v>186</v>
      </c>
      <c r="AG96" s="37" t="s">
        <v>108</v>
      </c>
      <c r="AH96" s="38" t="s">
        <v>190</v>
      </c>
      <c r="AI96" s="40">
        <f t="shared" si="67"/>
        <v>861</v>
      </c>
      <c r="AJ96" s="41">
        <f t="shared" si="68"/>
        <v>56.92665890570431</v>
      </c>
      <c r="AK96" s="41">
        <f t="shared" si="69"/>
        <v>2.6775320139697323</v>
      </c>
      <c r="AL96" s="41">
        <f t="shared" si="70"/>
        <v>36.43771827706635</v>
      </c>
      <c r="AM96" s="41">
        <f t="shared" si="71"/>
        <v>3.958090803259604</v>
      </c>
      <c r="AN96" s="41">
        <f t="shared" si="72"/>
        <v>0</v>
      </c>
      <c r="AO96" s="41">
        <f t="shared" si="73"/>
        <v>100</v>
      </c>
      <c r="AP96" s="41">
        <f t="shared" si="74"/>
        <v>36.08847497089639</v>
      </c>
      <c r="AQ96" s="41">
        <f t="shared" si="75"/>
        <v>21.885913853317813</v>
      </c>
      <c r="AR96" s="41">
        <f t="shared" si="76"/>
        <v>0.6984866123399301</v>
      </c>
      <c r="AS96" s="41">
        <f t="shared" si="77"/>
        <v>1.979045401629802</v>
      </c>
      <c r="AT96" s="41">
        <f t="shared" si="78"/>
        <v>30.849825378346914</v>
      </c>
      <c r="AU96" s="41">
        <f t="shared" si="79"/>
        <v>8.032596041909198</v>
      </c>
      <c r="AV96" s="41">
        <f t="shared" si="80"/>
        <v>0.46565774155995343</v>
      </c>
      <c r="AW96" s="41">
        <f t="shared" si="81"/>
        <v>100</v>
      </c>
      <c r="AX96" s="41">
        <f t="shared" si="82"/>
        <v>8.847497089639116</v>
      </c>
      <c r="AY96" s="41">
        <f t="shared" si="83"/>
        <v>8.847497089639116</v>
      </c>
      <c r="AZ96" s="41">
        <f t="shared" si="84"/>
        <v>52.852153667054715</v>
      </c>
      <c r="BA96" s="41">
        <f t="shared" si="85"/>
        <v>0.3492433061699651</v>
      </c>
      <c r="BB96" s="41">
        <f t="shared" si="86"/>
        <v>0.6984866123399301</v>
      </c>
      <c r="BC96" s="41">
        <f t="shared" si="87"/>
        <v>1.2805587892898718</v>
      </c>
      <c r="BD96" s="41">
        <f t="shared" si="88"/>
        <v>27.124563445867288</v>
      </c>
      <c r="BE96" s="24">
        <f t="shared" si="89"/>
        <v>100</v>
      </c>
      <c r="BG96" t="s">
        <v>186</v>
      </c>
      <c r="BH96" t="s">
        <v>108</v>
      </c>
      <c r="BI96" t="s">
        <v>190</v>
      </c>
      <c r="BJ96" s="25">
        <f t="shared" si="90"/>
        <v>3755</v>
      </c>
      <c r="BK96" s="25">
        <f t="shared" si="91"/>
        <v>861</v>
      </c>
      <c r="BL96" s="24">
        <f t="shared" si="92"/>
        <v>43.073341094295685</v>
      </c>
      <c r="BM96" s="24">
        <f t="shared" si="93"/>
        <v>63.911525029103615</v>
      </c>
      <c r="BN96" s="24">
        <f t="shared" si="94"/>
        <v>27.124563445867288</v>
      </c>
    </row>
    <row r="97" spans="2:66" ht="15">
      <c r="B97" s="32" t="s">
        <v>92</v>
      </c>
      <c r="C97" s="32" t="s">
        <v>186</v>
      </c>
      <c r="D97" s="33" t="s">
        <v>108</v>
      </c>
      <c r="E97" s="33" t="s">
        <v>191</v>
      </c>
      <c r="F97" s="34">
        <v>21397</v>
      </c>
      <c r="G97" s="34">
        <v>5327</v>
      </c>
      <c r="H97" s="34">
        <v>4105</v>
      </c>
      <c r="I97" s="34">
        <v>306</v>
      </c>
      <c r="J97" s="34">
        <v>775</v>
      </c>
      <c r="K97" s="34">
        <v>112</v>
      </c>
      <c r="L97" s="34">
        <v>28</v>
      </c>
      <c r="M97" s="35">
        <f t="shared" si="64"/>
        <v>5326</v>
      </c>
      <c r="N97" s="34">
        <v>2400</v>
      </c>
      <c r="O97" s="34">
        <v>555</v>
      </c>
      <c r="P97" s="34">
        <v>611</v>
      </c>
      <c r="Q97" s="34">
        <v>415</v>
      </c>
      <c r="R97" s="34">
        <v>984</v>
      </c>
      <c r="S97" s="34">
        <v>309</v>
      </c>
      <c r="T97" s="36">
        <f>54-2</f>
        <v>52</v>
      </c>
      <c r="U97" s="35">
        <f t="shared" si="65"/>
        <v>5326</v>
      </c>
      <c r="V97" s="35">
        <v>1908</v>
      </c>
      <c r="W97" s="35">
        <v>408</v>
      </c>
      <c r="X97" s="35">
        <v>2046</v>
      </c>
      <c r="Y97" s="35">
        <v>178</v>
      </c>
      <c r="Z97" s="35">
        <v>65</v>
      </c>
      <c r="AA97" s="35">
        <v>185</v>
      </c>
      <c r="AB97" s="44">
        <f>537-1</f>
        <v>536</v>
      </c>
      <c r="AC97" s="35">
        <f t="shared" si="66"/>
        <v>5326</v>
      </c>
      <c r="AD97" s="42"/>
      <c r="AF97" t="s">
        <v>186</v>
      </c>
      <c r="AG97" s="37" t="s">
        <v>108</v>
      </c>
      <c r="AH97" s="38" t="s">
        <v>191</v>
      </c>
      <c r="AI97" s="40">
        <f t="shared" si="67"/>
        <v>5327</v>
      </c>
      <c r="AJ97" s="41">
        <f t="shared" si="68"/>
        <v>77.07472775065716</v>
      </c>
      <c r="AK97" s="41">
        <f t="shared" si="69"/>
        <v>5.745399924896733</v>
      </c>
      <c r="AL97" s="41">
        <f t="shared" si="70"/>
        <v>14.551257979722118</v>
      </c>
      <c r="AM97" s="41">
        <f t="shared" si="71"/>
        <v>2.1028914757791966</v>
      </c>
      <c r="AN97" s="41">
        <f t="shared" si="72"/>
        <v>0.5257228689447991</v>
      </c>
      <c r="AO97" s="41">
        <f t="shared" si="73"/>
        <v>100.00000000000001</v>
      </c>
      <c r="AP97" s="41">
        <f t="shared" si="74"/>
        <v>45.0619601952685</v>
      </c>
      <c r="AQ97" s="41">
        <f t="shared" si="75"/>
        <v>10.42057829515584</v>
      </c>
      <c r="AR97" s="41">
        <f t="shared" si="76"/>
        <v>11.472024033045438</v>
      </c>
      <c r="AS97" s="41">
        <f t="shared" si="77"/>
        <v>7.791963950431843</v>
      </c>
      <c r="AT97" s="41">
        <f t="shared" si="78"/>
        <v>18.475403680060083</v>
      </c>
      <c r="AU97" s="41">
        <f t="shared" si="79"/>
        <v>5.8017273751408185</v>
      </c>
      <c r="AV97" s="41">
        <f t="shared" si="80"/>
        <v>0.976342470897484</v>
      </c>
      <c r="AW97" s="41">
        <f t="shared" si="81"/>
        <v>100</v>
      </c>
      <c r="AX97" s="41">
        <f t="shared" si="82"/>
        <v>35.824258355238456</v>
      </c>
      <c r="AY97" s="41">
        <f t="shared" si="83"/>
        <v>7.660533233195645</v>
      </c>
      <c r="AZ97" s="41">
        <f t="shared" si="84"/>
        <v>38.41532106646639</v>
      </c>
      <c r="BA97" s="41">
        <f t="shared" si="85"/>
        <v>3.3420953811490803</v>
      </c>
      <c r="BB97" s="41">
        <f t="shared" si="86"/>
        <v>1.220428088621855</v>
      </c>
      <c r="BC97" s="41">
        <f t="shared" si="87"/>
        <v>3.4735260983852796</v>
      </c>
      <c r="BD97" s="41">
        <f t="shared" si="88"/>
        <v>10.063837776943299</v>
      </c>
      <c r="BE97" s="24">
        <f t="shared" si="89"/>
        <v>100</v>
      </c>
      <c r="BG97" t="s">
        <v>186</v>
      </c>
      <c r="BH97" t="s">
        <v>108</v>
      </c>
      <c r="BI97" t="s">
        <v>191</v>
      </c>
      <c r="BJ97" s="25">
        <f t="shared" si="90"/>
        <v>21397</v>
      </c>
      <c r="BK97" s="25">
        <f t="shared" si="91"/>
        <v>5327</v>
      </c>
      <c r="BL97" s="24">
        <f t="shared" si="92"/>
        <v>22.925272249342846</v>
      </c>
      <c r="BM97" s="24">
        <f t="shared" si="93"/>
        <v>54.93803980473151</v>
      </c>
      <c r="BN97" s="24">
        <f t="shared" si="94"/>
        <v>10.063837776943299</v>
      </c>
    </row>
    <row r="98" spans="2:66" ht="15">
      <c r="B98" s="32" t="s">
        <v>92</v>
      </c>
      <c r="C98" s="32" t="s">
        <v>186</v>
      </c>
      <c r="D98" s="33" t="s">
        <v>108</v>
      </c>
      <c r="E98" s="33" t="s">
        <v>192</v>
      </c>
      <c r="F98" s="34">
        <v>3943</v>
      </c>
      <c r="G98" s="34">
        <v>892</v>
      </c>
      <c r="H98" s="34">
        <v>639</v>
      </c>
      <c r="I98" s="34">
        <v>52</v>
      </c>
      <c r="J98" s="34">
        <v>196</v>
      </c>
      <c r="K98" s="34">
        <v>5</v>
      </c>
      <c r="L98" s="34">
        <v>0</v>
      </c>
      <c r="M98" s="35">
        <f t="shared" si="64"/>
        <v>892</v>
      </c>
      <c r="N98" s="34">
        <v>540</v>
      </c>
      <c r="O98" s="34">
        <v>85</v>
      </c>
      <c r="P98" s="34">
        <v>15</v>
      </c>
      <c r="Q98" s="34">
        <v>0</v>
      </c>
      <c r="R98" s="34">
        <v>31</v>
      </c>
      <c r="S98" s="34">
        <v>219</v>
      </c>
      <c r="T98" s="36">
        <v>2</v>
      </c>
      <c r="U98" s="35">
        <f t="shared" si="65"/>
        <v>892</v>
      </c>
      <c r="V98" s="35">
        <v>4</v>
      </c>
      <c r="W98" s="35">
        <v>166</v>
      </c>
      <c r="X98" s="35">
        <v>505</v>
      </c>
      <c r="Y98" s="35">
        <v>0</v>
      </c>
      <c r="Z98" s="35">
        <v>0</v>
      </c>
      <c r="AA98" s="35">
        <v>10</v>
      </c>
      <c r="AB98" s="44">
        <f>205+2</f>
        <v>207</v>
      </c>
      <c r="AC98" s="35">
        <f t="shared" si="66"/>
        <v>892</v>
      </c>
      <c r="AD98" s="42"/>
      <c r="AF98" t="s">
        <v>186</v>
      </c>
      <c r="AG98" s="37" t="s">
        <v>108</v>
      </c>
      <c r="AH98" s="38" t="s">
        <v>192</v>
      </c>
      <c r="AI98" s="40">
        <f>+M98</f>
        <v>892</v>
      </c>
      <c r="AJ98" s="41">
        <f t="shared" si="68"/>
        <v>71.63677130044843</v>
      </c>
      <c r="AK98" s="41">
        <f t="shared" si="69"/>
        <v>5.829596412556054</v>
      </c>
      <c r="AL98" s="41">
        <f t="shared" si="70"/>
        <v>21.973094170403588</v>
      </c>
      <c r="AM98" s="41">
        <f t="shared" si="71"/>
        <v>0.5605381165919282</v>
      </c>
      <c r="AN98" s="41">
        <f t="shared" si="72"/>
        <v>0</v>
      </c>
      <c r="AO98" s="41">
        <f t="shared" si="73"/>
        <v>100</v>
      </c>
      <c r="AP98" s="41">
        <f t="shared" si="74"/>
        <v>60.53811659192825</v>
      </c>
      <c r="AQ98" s="41">
        <f t="shared" si="75"/>
        <v>9.52914798206278</v>
      </c>
      <c r="AR98" s="41">
        <f t="shared" si="76"/>
        <v>1.6816143497757847</v>
      </c>
      <c r="AS98" s="41">
        <f t="shared" si="77"/>
        <v>0</v>
      </c>
      <c r="AT98" s="41">
        <f t="shared" si="78"/>
        <v>3.4753363228699556</v>
      </c>
      <c r="AU98" s="41">
        <f t="shared" si="79"/>
        <v>24.551569506726455</v>
      </c>
      <c r="AV98" s="41">
        <f t="shared" si="80"/>
        <v>0.2242152466367713</v>
      </c>
      <c r="AW98" s="41">
        <f t="shared" si="81"/>
        <v>99.99999999999999</v>
      </c>
      <c r="AX98" s="41">
        <f t="shared" si="82"/>
        <v>0.4484304932735426</v>
      </c>
      <c r="AY98" s="41">
        <f t="shared" si="83"/>
        <v>18.609865470852018</v>
      </c>
      <c r="AZ98" s="41">
        <f t="shared" si="84"/>
        <v>56.61434977578475</v>
      </c>
      <c r="BA98" s="41">
        <f t="shared" si="85"/>
        <v>0</v>
      </c>
      <c r="BB98" s="41">
        <f t="shared" si="86"/>
        <v>0</v>
      </c>
      <c r="BC98" s="41">
        <f t="shared" si="87"/>
        <v>1.1210762331838564</v>
      </c>
      <c r="BD98" s="41">
        <f t="shared" si="88"/>
        <v>23.20627802690583</v>
      </c>
      <c r="BE98" s="24"/>
      <c r="BG98" t="s">
        <v>186</v>
      </c>
      <c r="BH98" s="51" t="s">
        <v>108</v>
      </c>
      <c r="BI98" s="51" t="s">
        <v>192</v>
      </c>
      <c r="BJ98" s="25">
        <f t="shared" si="90"/>
        <v>3943</v>
      </c>
      <c r="BK98" s="25">
        <f t="shared" si="91"/>
        <v>892</v>
      </c>
      <c r="BL98" s="24">
        <f t="shared" si="92"/>
        <v>28.36322869955157</v>
      </c>
      <c r="BM98" s="24">
        <f t="shared" si="93"/>
        <v>39.46188340807175</v>
      </c>
      <c r="BN98" s="24">
        <f t="shared" si="94"/>
        <v>23.20627802690583</v>
      </c>
    </row>
    <row r="99" spans="2:66" ht="15">
      <c r="B99" s="32" t="s">
        <v>92</v>
      </c>
      <c r="C99" s="32" t="s">
        <v>186</v>
      </c>
      <c r="D99" s="33" t="s">
        <v>115</v>
      </c>
      <c r="E99" s="33" t="s">
        <v>193</v>
      </c>
      <c r="F99" s="34">
        <v>11281</v>
      </c>
      <c r="G99" s="34">
        <v>2334</v>
      </c>
      <c r="H99" s="34">
        <v>1911</v>
      </c>
      <c r="I99" s="34">
        <v>90</v>
      </c>
      <c r="J99" s="34">
        <v>321</v>
      </c>
      <c r="K99" s="34">
        <v>0</v>
      </c>
      <c r="L99" s="34">
        <v>13</v>
      </c>
      <c r="M99" s="35">
        <f t="shared" si="64"/>
        <v>2335</v>
      </c>
      <c r="N99" s="34">
        <v>1128</v>
      </c>
      <c r="O99" s="34">
        <v>218</v>
      </c>
      <c r="P99" s="34">
        <v>64</v>
      </c>
      <c r="Q99" s="34">
        <v>0</v>
      </c>
      <c r="R99" s="34">
        <v>385</v>
      </c>
      <c r="S99" s="34">
        <v>540</v>
      </c>
      <c r="T99" s="34">
        <v>0</v>
      </c>
      <c r="U99" s="35">
        <f t="shared" si="65"/>
        <v>2335</v>
      </c>
      <c r="V99" s="35">
        <v>316</v>
      </c>
      <c r="W99" s="35">
        <v>337</v>
      </c>
      <c r="X99" s="35">
        <v>1135</v>
      </c>
      <c r="Y99" s="35">
        <v>0</v>
      </c>
      <c r="Z99" s="35">
        <v>37</v>
      </c>
      <c r="AA99" s="35">
        <v>63</v>
      </c>
      <c r="AB99" s="44">
        <f>448-1</f>
        <v>447</v>
      </c>
      <c r="AC99" s="35">
        <f t="shared" si="66"/>
        <v>2335</v>
      </c>
      <c r="AD99" s="42"/>
      <c r="AF99" t="s">
        <v>186</v>
      </c>
      <c r="AG99" s="37" t="s">
        <v>115</v>
      </c>
      <c r="AH99" s="38" t="s">
        <v>193</v>
      </c>
      <c r="AI99" s="40">
        <f>+G99</f>
        <v>2334</v>
      </c>
      <c r="AJ99" s="41">
        <f t="shared" si="68"/>
        <v>81.84154175588864</v>
      </c>
      <c r="AK99" s="41">
        <f t="shared" si="69"/>
        <v>3.854389721627409</v>
      </c>
      <c r="AL99" s="41">
        <f t="shared" si="70"/>
        <v>13.747323340471093</v>
      </c>
      <c r="AM99" s="41">
        <f t="shared" si="71"/>
        <v>0</v>
      </c>
      <c r="AN99" s="41">
        <f t="shared" si="72"/>
        <v>0.556745182012848</v>
      </c>
      <c r="AO99" s="41">
        <f t="shared" si="73"/>
        <v>100</v>
      </c>
      <c r="AP99" s="41">
        <f t="shared" si="74"/>
        <v>48.30835117773019</v>
      </c>
      <c r="AQ99" s="41">
        <f t="shared" si="75"/>
        <v>9.336188436830835</v>
      </c>
      <c r="AR99" s="41">
        <f t="shared" si="76"/>
        <v>2.740899357601713</v>
      </c>
      <c r="AS99" s="41">
        <f t="shared" si="77"/>
        <v>0</v>
      </c>
      <c r="AT99" s="41">
        <f t="shared" si="78"/>
        <v>16.488222698072803</v>
      </c>
      <c r="AU99" s="41">
        <f t="shared" si="79"/>
        <v>23.126338329764454</v>
      </c>
      <c r="AV99" s="41">
        <f t="shared" si="80"/>
        <v>0</v>
      </c>
      <c r="AW99" s="41">
        <f t="shared" si="81"/>
        <v>100</v>
      </c>
      <c r="AX99" s="41">
        <f t="shared" si="82"/>
        <v>13.533190578158457</v>
      </c>
      <c r="AY99" s="41">
        <f t="shared" si="83"/>
        <v>14.432548179871521</v>
      </c>
      <c r="AZ99" s="41">
        <f t="shared" si="84"/>
        <v>48.60813704496788</v>
      </c>
      <c r="BA99" s="41">
        <f t="shared" si="85"/>
        <v>0</v>
      </c>
      <c r="BB99" s="41">
        <f t="shared" si="86"/>
        <v>1.5845824411134906</v>
      </c>
      <c r="BC99" s="41">
        <f t="shared" si="87"/>
        <v>2.6980728051391862</v>
      </c>
      <c r="BD99" s="41">
        <f t="shared" si="88"/>
        <v>19.143468950749465</v>
      </c>
      <c r="BE99" s="24">
        <f>+SUM(AX99:BD99)</f>
        <v>100.00000000000001</v>
      </c>
      <c r="BG99" t="s">
        <v>186</v>
      </c>
      <c r="BH99" t="s">
        <v>115</v>
      </c>
      <c r="BI99" t="s">
        <v>193</v>
      </c>
      <c r="BJ99" s="25">
        <f t="shared" si="90"/>
        <v>11281</v>
      </c>
      <c r="BK99" s="25">
        <f t="shared" si="91"/>
        <v>2334</v>
      </c>
      <c r="BL99" s="24">
        <f t="shared" si="92"/>
        <v>18.158458244111348</v>
      </c>
      <c r="BM99" s="24">
        <f t="shared" si="93"/>
        <v>51.691648822269805</v>
      </c>
      <c r="BN99" s="24">
        <f t="shared" si="94"/>
        <v>19.143468950749465</v>
      </c>
    </row>
    <row r="100" spans="2:66" ht="15">
      <c r="B100" s="32" t="s">
        <v>92</v>
      </c>
      <c r="C100" s="32" t="s">
        <v>186</v>
      </c>
      <c r="D100" s="33" t="s">
        <v>184</v>
      </c>
      <c r="E100" s="33" t="s">
        <v>194</v>
      </c>
      <c r="F100" s="35">
        <v>31080</v>
      </c>
      <c r="G100" s="35">
        <v>6201</v>
      </c>
      <c r="H100" s="35">
        <v>5815</v>
      </c>
      <c r="I100" s="35">
        <v>309</v>
      </c>
      <c r="J100" s="35">
        <v>38</v>
      </c>
      <c r="K100" s="35">
        <v>39</v>
      </c>
      <c r="L100" s="35">
        <v>0</v>
      </c>
      <c r="M100" s="35">
        <f t="shared" si="64"/>
        <v>6201</v>
      </c>
      <c r="N100" s="35">
        <v>4004</v>
      </c>
      <c r="O100" s="35">
        <v>155</v>
      </c>
      <c r="P100" s="35">
        <v>598</v>
      </c>
      <c r="Q100" s="35">
        <v>114</v>
      </c>
      <c r="R100" s="35">
        <v>1311</v>
      </c>
      <c r="S100" s="35">
        <v>0</v>
      </c>
      <c r="T100" s="44">
        <f>18+1</f>
        <v>19</v>
      </c>
      <c r="U100" s="35">
        <f t="shared" si="65"/>
        <v>6201</v>
      </c>
      <c r="V100" s="35">
        <v>2250</v>
      </c>
      <c r="W100" s="35">
        <v>746</v>
      </c>
      <c r="X100" s="35">
        <v>2391</v>
      </c>
      <c r="Y100" s="35">
        <v>315</v>
      </c>
      <c r="Z100" s="35">
        <v>20</v>
      </c>
      <c r="AA100" s="35">
        <v>231</v>
      </c>
      <c r="AB100" s="35">
        <v>248</v>
      </c>
      <c r="AC100" s="35">
        <f t="shared" si="66"/>
        <v>6201</v>
      </c>
      <c r="AD100" s="42"/>
      <c r="AF100" t="s">
        <v>186</v>
      </c>
      <c r="AG100" s="37" t="s">
        <v>184</v>
      </c>
      <c r="AH100" s="38" t="s">
        <v>194</v>
      </c>
      <c r="AI100" s="40">
        <f>+G100</f>
        <v>6201</v>
      </c>
      <c r="AJ100" s="41">
        <f t="shared" si="68"/>
        <v>93.77519754878246</v>
      </c>
      <c r="AK100" s="41">
        <f t="shared" si="69"/>
        <v>4.98306724721819</v>
      </c>
      <c r="AL100" s="41">
        <f t="shared" si="70"/>
        <v>0.612804386389292</v>
      </c>
      <c r="AM100" s="41">
        <f t="shared" si="71"/>
        <v>0.628930817610063</v>
      </c>
      <c r="AN100" s="41">
        <f t="shared" si="72"/>
        <v>0</v>
      </c>
      <c r="AO100" s="41">
        <f t="shared" si="73"/>
        <v>100</v>
      </c>
      <c r="AP100" s="41">
        <f t="shared" si="74"/>
        <v>64.57023060796647</v>
      </c>
      <c r="AQ100" s="41">
        <f t="shared" si="75"/>
        <v>2.499596839219481</v>
      </c>
      <c r="AR100" s="41">
        <f t="shared" si="76"/>
        <v>9.643605870020965</v>
      </c>
      <c r="AS100" s="41">
        <f t="shared" si="77"/>
        <v>1.8384131591678763</v>
      </c>
      <c r="AT100" s="41">
        <f t="shared" si="78"/>
        <v>21.141751330430576</v>
      </c>
      <c r="AU100" s="41">
        <f t="shared" si="79"/>
        <v>0</v>
      </c>
      <c r="AV100" s="41">
        <f t="shared" si="80"/>
        <v>0.306402193194646</v>
      </c>
      <c r="AW100" s="41">
        <f t="shared" si="81"/>
        <v>100</v>
      </c>
      <c r="AX100" s="41">
        <f t="shared" si="82"/>
        <v>36.284470246734394</v>
      </c>
      <c r="AY100" s="41">
        <f t="shared" si="83"/>
        <v>12.03031769069505</v>
      </c>
      <c r="AZ100" s="41">
        <f t="shared" si="84"/>
        <v>38.55829704886309</v>
      </c>
      <c r="BA100" s="41">
        <f t="shared" si="85"/>
        <v>5.079825834542816</v>
      </c>
      <c r="BB100" s="41">
        <f t="shared" si="86"/>
        <v>0.32252862441541685</v>
      </c>
      <c r="BC100" s="41">
        <f t="shared" si="87"/>
        <v>3.725205611998065</v>
      </c>
      <c r="BD100" s="41">
        <f t="shared" si="88"/>
        <v>3.999354942751169</v>
      </c>
      <c r="BE100" s="24">
        <f>+SUM(AX100:BD100)</f>
        <v>99.99999999999999</v>
      </c>
      <c r="BG100" t="s">
        <v>186</v>
      </c>
      <c r="BH100" t="s">
        <v>184</v>
      </c>
      <c r="BI100" t="s">
        <v>194</v>
      </c>
      <c r="BJ100" s="25">
        <f t="shared" si="90"/>
        <v>31080</v>
      </c>
      <c r="BK100" s="25">
        <f t="shared" si="91"/>
        <v>6201</v>
      </c>
      <c r="BL100" s="24">
        <f t="shared" si="92"/>
        <v>6.224802451217545</v>
      </c>
      <c r="BM100" s="24">
        <f t="shared" si="93"/>
        <v>35.42976939203354</v>
      </c>
      <c r="BN100" s="24">
        <f t="shared" si="94"/>
        <v>3.999354942751169</v>
      </c>
    </row>
    <row r="101" spans="2:66" ht="15">
      <c r="B101" s="32" t="s">
        <v>92</v>
      </c>
      <c r="C101" s="32" t="s">
        <v>186</v>
      </c>
      <c r="D101" s="33" t="s">
        <v>118</v>
      </c>
      <c r="E101" s="33" t="s">
        <v>195</v>
      </c>
      <c r="F101" s="35">
        <v>57989</v>
      </c>
      <c r="G101" s="35">
        <v>13260</v>
      </c>
      <c r="H101" s="35">
        <v>10739</v>
      </c>
      <c r="I101" s="35">
        <v>1035</v>
      </c>
      <c r="J101" s="35">
        <v>1137</v>
      </c>
      <c r="K101" s="35">
        <v>293</v>
      </c>
      <c r="L101" s="35">
        <v>55</v>
      </c>
      <c r="M101" s="35">
        <f t="shared" si="64"/>
        <v>13259</v>
      </c>
      <c r="N101" s="35">
        <v>6132</v>
      </c>
      <c r="O101" s="35">
        <v>594</v>
      </c>
      <c r="P101" s="35">
        <v>580</v>
      </c>
      <c r="Q101" s="35">
        <v>71</v>
      </c>
      <c r="R101" s="35">
        <v>2369</v>
      </c>
      <c r="S101" s="44">
        <f>3515-2</f>
        <v>3513</v>
      </c>
      <c r="T101" s="35">
        <v>0</v>
      </c>
      <c r="U101" s="35">
        <f t="shared" si="65"/>
        <v>13259</v>
      </c>
      <c r="V101" s="35">
        <v>3630</v>
      </c>
      <c r="W101" s="35">
        <v>1474</v>
      </c>
      <c r="X101" s="35">
        <v>4731</v>
      </c>
      <c r="Y101" s="35">
        <v>370</v>
      </c>
      <c r="Z101" s="35">
        <v>18</v>
      </c>
      <c r="AA101" s="35">
        <v>344</v>
      </c>
      <c r="AB101" s="44">
        <f>2694-2</f>
        <v>2692</v>
      </c>
      <c r="AC101" s="35">
        <f t="shared" si="66"/>
        <v>13259</v>
      </c>
      <c r="AD101" s="42"/>
      <c r="AF101" t="s">
        <v>186</v>
      </c>
      <c r="AG101" s="37" t="s">
        <v>118</v>
      </c>
      <c r="AH101" s="38" t="s">
        <v>195</v>
      </c>
      <c r="AI101" s="40">
        <f>+G101</f>
        <v>13260</v>
      </c>
      <c r="AJ101" s="41">
        <f t="shared" si="68"/>
        <v>80.99404178293989</v>
      </c>
      <c r="AK101" s="41">
        <f t="shared" si="69"/>
        <v>7.806018553435402</v>
      </c>
      <c r="AL101" s="41">
        <f t="shared" si="70"/>
        <v>8.575307338411644</v>
      </c>
      <c r="AM101" s="41">
        <f t="shared" si="71"/>
        <v>2.209819745078814</v>
      </c>
      <c r="AN101" s="41">
        <f t="shared" si="72"/>
        <v>0.41481258013424843</v>
      </c>
      <c r="AO101" s="41">
        <f t="shared" si="73"/>
        <v>100.00000000000001</v>
      </c>
      <c r="AP101" s="41">
        <f t="shared" si="74"/>
        <v>46.24783166151293</v>
      </c>
      <c r="AQ101" s="41">
        <f t="shared" si="75"/>
        <v>4.479975865449883</v>
      </c>
      <c r="AR101" s="41">
        <f t="shared" si="76"/>
        <v>4.374387208688438</v>
      </c>
      <c r="AS101" s="41">
        <f t="shared" si="77"/>
        <v>0.5354853307187571</v>
      </c>
      <c r="AT101" s="41">
        <f t="shared" si="78"/>
        <v>17.86710913341881</v>
      </c>
      <c r="AU101" s="41">
        <f t="shared" si="79"/>
        <v>26.495210800211176</v>
      </c>
      <c r="AV101" s="41">
        <f t="shared" si="80"/>
        <v>0</v>
      </c>
      <c r="AW101" s="41">
        <f t="shared" si="81"/>
        <v>100</v>
      </c>
      <c r="AX101" s="41">
        <f t="shared" si="82"/>
        <v>27.377630288860395</v>
      </c>
      <c r="AY101" s="41">
        <f t="shared" si="83"/>
        <v>11.116977147597858</v>
      </c>
      <c r="AZ101" s="41">
        <f t="shared" si="84"/>
        <v>35.681423938456895</v>
      </c>
      <c r="BA101" s="41">
        <f t="shared" si="85"/>
        <v>2.790557357266762</v>
      </c>
      <c r="BB101" s="41">
        <f t="shared" si="86"/>
        <v>0.1357568444075722</v>
      </c>
      <c r="BC101" s="41">
        <f t="shared" si="87"/>
        <v>2.594464137566936</v>
      </c>
      <c r="BD101" s="41">
        <f t="shared" si="88"/>
        <v>20.303190285843577</v>
      </c>
      <c r="BE101" s="24">
        <f>+SUM(AX101:BD101)</f>
        <v>99.99999999999997</v>
      </c>
      <c r="BG101" t="s">
        <v>186</v>
      </c>
      <c r="BH101" t="s">
        <v>118</v>
      </c>
      <c r="BI101" t="s">
        <v>195</v>
      </c>
      <c r="BJ101" s="25">
        <f t="shared" si="90"/>
        <v>57989</v>
      </c>
      <c r="BK101" s="25">
        <f t="shared" si="91"/>
        <v>13260</v>
      </c>
      <c r="BL101" s="24">
        <f t="shared" si="92"/>
        <v>19.005958217060112</v>
      </c>
      <c r="BM101" s="24">
        <f t="shared" si="93"/>
        <v>53.75216833848707</v>
      </c>
      <c r="BN101" s="24">
        <f t="shared" si="94"/>
        <v>20.303190285843577</v>
      </c>
    </row>
    <row r="103" ht="12.75">
      <c r="P103" t="s">
        <v>196</v>
      </c>
    </row>
    <row r="105" spans="5:66" ht="12.75">
      <c r="E105" s="508" t="s">
        <v>197</v>
      </c>
      <c r="F105" s="512" t="s">
        <v>59</v>
      </c>
      <c r="G105" s="513"/>
      <c r="H105" s="512" t="s">
        <v>60</v>
      </c>
      <c r="I105" s="513"/>
      <c r="J105" s="513"/>
      <c r="K105" s="513"/>
      <c r="L105" s="513"/>
      <c r="M105" s="514"/>
      <c r="N105" s="512" t="s">
        <v>61</v>
      </c>
      <c r="O105" s="513"/>
      <c r="P105" s="513"/>
      <c r="Q105" s="513"/>
      <c r="R105" s="513"/>
      <c r="S105" s="513"/>
      <c r="T105" s="513"/>
      <c r="U105" s="514"/>
      <c r="V105" s="512" t="s">
        <v>62</v>
      </c>
      <c r="W105" s="513"/>
      <c r="X105" s="513"/>
      <c r="Y105" s="513"/>
      <c r="Z105" s="513"/>
      <c r="AA105" s="513"/>
      <c r="AB105" s="513"/>
      <c r="AC105" s="28"/>
      <c r="AF105" s="515" t="s">
        <v>56</v>
      </c>
      <c r="AG105" s="508" t="s">
        <v>57</v>
      </c>
      <c r="AH105" s="508" t="s">
        <v>197</v>
      </c>
      <c r="AI105" s="510" t="s">
        <v>63</v>
      </c>
      <c r="AJ105" s="512" t="s">
        <v>60</v>
      </c>
      <c r="AK105" s="513"/>
      <c r="AL105" s="513"/>
      <c r="AM105" s="513"/>
      <c r="AN105" s="513"/>
      <c r="AO105" s="514"/>
      <c r="AP105" s="512" t="s">
        <v>61</v>
      </c>
      <c r="AQ105" s="513"/>
      <c r="AR105" s="513"/>
      <c r="AS105" s="513"/>
      <c r="AT105" s="513"/>
      <c r="AU105" s="513"/>
      <c r="AV105" s="513"/>
      <c r="AW105" s="514"/>
      <c r="AX105" s="512" t="s">
        <v>62</v>
      </c>
      <c r="AY105" s="513"/>
      <c r="AZ105" s="513"/>
      <c r="BA105" s="513"/>
      <c r="BB105" s="513"/>
      <c r="BC105" s="513"/>
      <c r="BD105" s="513"/>
      <c r="BE105" s="514"/>
      <c r="BH105" s="508" t="s">
        <v>57</v>
      </c>
      <c r="BI105" s="508" t="s">
        <v>58</v>
      </c>
      <c r="BJ105" s="508" t="s">
        <v>64</v>
      </c>
      <c r="BK105" s="508" t="s">
        <v>63</v>
      </c>
      <c r="BL105" s="512" t="s">
        <v>65</v>
      </c>
      <c r="BM105" s="513"/>
      <c r="BN105" s="513"/>
    </row>
    <row r="106" spans="5:66" ht="38.25">
      <c r="E106" s="509"/>
      <c r="F106" s="30" t="s">
        <v>64</v>
      </c>
      <c r="G106" s="31" t="s">
        <v>63</v>
      </c>
      <c r="H106" s="52" t="s">
        <v>66</v>
      </c>
      <c r="I106" s="31" t="s">
        <v>67</v>
      </c>
      <c r="J106" s="31" t="s">
        <v>68</v>
      </c>
      <c r="K106" s="31" t="s">
        <v>69</v>
      </c>
      <c r="L106" s="31" t="s">
        <v>70</v>
      </c>
      <c r="M106" s="31" t="s">
        <v>63</v>
      </c>
      <c r="N106" s="52" t="s">
        <v>71</v>
      </c>
      <c r="O106" s="52" t="s">
        <v>72</v>
      </c>
      <c r="P106" s="52" t="s">
        <v>73</v>
      </c>
      <c r="Q106" s="31" t="s">
        <v>74</v>
      </c>
      <c r="R106" s="52" t="s">
        <v>75</v>
      </c>
      <c r="S106" s="31" t="s">
        <v>76</v>
      </c>
      <c r="T106" s="31" t="s">
        <v>77</v>
      </c>
      <c r="U106" s="31" t="s">
        <v>63</v>
      </c>
      <c r="V106" s="52" t="s">
        <v>78</v>
      </c>
      <c r="W106" s="52" t="s">
        <v>79</v>
      </c>
      <c r="X106" s="52" t="s">
        <v>80</v>
      </c>
      <c r="Y106" s="31" t="s">
        <v>81</v>
      </c>
      <c r="Z106" s="31" t="s">
        <v>82</v>
      </c>
      <c r="AA106" s="31" t="s">
        <v>83</v>
      </c>
      <c r="AB106" s="31" t="s">
        <v>84</v>
      </c>
      <c r="AC106" s="31" t="s">
        <v>63</v>
      </c>
      <c r="AF106" s="516"/>
      <c r="AG106" s="509"/>
      <c r="AH106" s="509"/>
      <c r="AI106" s="511"/>
      <c r="AJ106" s="31" t="s">
        <v>66</v>
      </c>
      <c r="AK106" s="31" t="s">
        <v>67</v>
      </c>
      <c r="AL106" s="31" t="s">
        <v>68</v>
      </c>
      <c r="AM106" s="31" t="s">
        <v>69</v>
      </c>
      <c r="AN106" s="31" t="s">
        <v>70</v>
      </c>
      <c r="AO106" s="31" t="s">
        <v>85</v>
      </c>
      <c r="AP106" s="31" t="s">
        <v>71</v>
      </c>
      <c r="AQ106" s="31" t="s">
        <v>72</v>
      </c>
      <c r="AR106" s="31" t="s">
        <v>73</v>
      </c>
      <c r="AS106" s="31" t="s">
        <v>74</v>
      </c>
      <c r="AT106" s="31" t="s">
        <v>75</v>
      </c>
      <c r="AU106" s="31" t="s">
        <v>76</v>
      </c>
      <c r="AV106" s="31" t="s">
        <v>77</v>
      </c>
      <c r="AW106" s="31" t="s">
        <v>63</v>
      </c>
      <c r="AX106" s="31" t="s">
        <v>78</v>
      </c>
      <c r="AY106" s="31" t="s">
        <v>79</v>
      </c>
      <c r="AZ106" s="31" t="s">
        <v>80</v>
      </c>
      <c r="BA106" s="31" t="s">
        <v>81</v>
      </c>
      <c r="BB106" s="31" t="s">
        <v>82</v>
      </c>
      <c r="BC106" s="31" t="s">
        <v>83</v>
      </c>
      <c r="BD106" s="31" t="s">
        <v>84</v>
      </c>
      <c r="BE106" s="31" t="s">
        <v>63</v>
      </c>
      <c r="BH106" s="509"/>
      <c r="BI106" s="509"/>
      <c r="BJ106" s="509"/>
      <c r="BK106" s="509"/>
      <c r="BL106" s="29" t="s">
        <v>86</v>
      </c>
      <c r="BM106" s="29" t="s">
        <v>87</v>
      </c>
      <c r="BN106" s="29" t="s">
        <v>88</v>
      </c>
    </row>
    <row r="108" spans="5:69" ht="12.75">
      <c r="E108" t="s">
        <v>198</v>
      </c>
      <c r="F108" s="25">
        <f aca="true" t="shared" si="95" ref="F108:AC108">+SUM(F10:F30)</f>
        <v>87033</v>
      </c>
      <c r="G108" s="25">
        <f t="shared" si="95"/>
        <v>16799</v>
      </c>
      <c r="H108" s="25">
        <f t="shared" si="95"/>
        <v>8788</v>
      </c>
      <c r="I108" s="25">
        <f t="shared" si="95"/>
        <v>575</v>
      </c>
      <c r="J108" s="25">
        <f t="shared" si="95"/>
        <v>6742</v>
      </c>
      <c r="K108" s="25">
        <f t="shared" si="95"/>
        <v>319</v>
      </c>
      <c r="L108" s="25">
        <f t="shared" si="95"/>
        <v>379</v>
      </c>
      <c r="M108" s="25">
        <f t="shared" si="95"/>
        <v>16803</v>
      </c>
      <c r="N108" s="25">
        <f t="shared" si="95"/>
        <v>8912</v>
      </c>
      <c r="O108" s="25">
        <f t="shared" si="95"/>
        <v>1194</v>
      </c>
      <c r="P108" s="25">
        <f t="shared" si="95"/>
        <v>823</v>
      </c>
      <c r="Q108" s="25">
        <f t="shared" si="95"/>
        <v>79</v>
      </c>
      <c r="R108" s="25">
        <f t="shared" si="95"/>
        <v>1299</v>
      </c>
      <c r="S108" s="25">
        <f t="shared" si="95"/>
        <v>4472</v>
      </c>
      <c r="T108" s="25">
        <f t="shared" si="95"/>
        <v>24</v>
      </c>
      <c r="U108" s="25">
        <f t="shared" si="95"/>
        <v>16803</v>
      </c>
      <c r="V108" s="25">
        <f t="shared" si="95"/>
        <v>544</v>
      </c>
      <c r="W108" s="25">
        <f t="shared" si="95"/>
        <v>1178</v>
      </c>
      <c r="X108" s="25">
        <f t="shared" si="95"/>
        <v>8851</v>
      </c>
      <c r="Y108" s="25">
        <f t="shared" si="95"/>
        <v>30</v>
      </c>
      <c r="Z108" s="25">
        <f t="shared" si="95"/>
        <v>31</v>
      </c>
      <c r="AA108" s="25">
        <f t="shared" si="95"/>
        <v>384</v>
      </c>
      <c r="AB108" s="25">
        <f t="shared" si="95"/>
        <v>5785</v>
      </c>
      <c r="AC108" s="25">
        <f t="shared" si="95"/>
        <v>16803</v>
      </c>
      <c r="AH108" t="s">
        <v>198</v>
      </c>
      <c r="AI108" s="25">
        <f>+SUM(AI10:AI30)</f>
        <v>16799</v>
      </c>
      <c r="AJ108" s="41">
        <f aca="true" t="shared" si="96" ref="AJ108:AN112">+H108/$M108*100</f>
        <v>52.30018449086473</v>
      </c>
      <c r="AK108" s="41">
        <f t="shared" si="96"/>
        <v>3.4220079747664105</v>
      </c>
      <c r="AL108" s="41">
        <f t="shared" si="96"/>
        <v>40.12378741891329</v>
      </c>
      <c r="AM108" s="41">
        <f t="shared" si="96"/>
        <v>1.8984705112182347</v>
      </c>
      <c r="AN108" s="41">
        <f t="shared" si="96"/>
        <v>2.2555496042373386</v>
      </c>
      <c r="AO108" s="41">
        <f>+SUM(AJ108:AN108)</f>
        <v>100</v>
      </c>
      <c r="AP108" s="41">
        <f aca="true" t="shared" si="97" ref="AP108:AV112">+N108/$U108*100</f>
        <v>53.038147949770874</v>
      </c>
      <c r="AQ108" s="41">
        <f t="shared" si="97"/>
        <v>7.105873951080165</v>
      </c>
      <c r="AR108" s="41">
        <f t="shared" si="97"/>
        <v>4.897934892578706</v>
      </c>
      <c r="AS108" s="41">
        <f t="shared" si="97"/>
        <v>0.4701541391418199</v>
      </c>
      <c r="AT108" s="41">
        <f t="shared" si="97"/>
        <v>7.730762363863596</v>
      </c>
      <c r="AU108" s="41">
        <f t="shared" si="97"/>
        <v>26.614295066357197</v>
      </c>
      <c r="AV108" s="41">
        <f t="shared" si="97"/>
        <v>0.14283163720764147</v>
      </c>
      <c r="AW108" s="41">
        <f>+SUM(AP108:AV108)</f>
        <v>100</v>
      </c>
      <c r="AX108" s="41">
        <f aca="true" t="shared" si="98" ref="AX108:BD112">+V108/$AC108*100</f>
        <v>3.237517110039874</v>
      </c>
      <c r="AY108" s="41">
        <f t="shared" si="98"/>
        <v>7.0106528596084035</v>
      </c>
      <c r="AZ108" s="41">
        <f t="shared" si="98"/>
        <v>52.675117538534785</v>
      </c>
      <c r="BA108" s="41">
        <f t="shared" si="98"/>
        <v>0.17853954650955187</v>
      </c>
      <c r="BB108" s="41">
        <f t="shared" si="98"/>
        <v>0.18449086472653692</v>
      </c>
      <c r="BC108" s="41">
        <f t="shared" si="98"/>
        <v>2.2853061953222635</v>
      </c>
      <c r="BD108" s="41">
        <f t="shared" si="98"/>
        <v>34.42837588525858</v>
      </c>
      <c r="BI108" t="s">
        <v>198</v>
      </c>
      <c r="BJ108" s="25">
        <f>+SUM(BJ10:BJ30)</f>
        <v>87033</v>
      </c>
      <c r="BK108" s="25">
        <f>+SUM(BK10:BK30)</f>
        <v>16799</v>
      </c>
      <c r="BL108" s="24">
        <f>AK108+AL108+AM108+AN108</f>
        <v>47.69981550913527</v>
      </c>
      <c r="BM108" s="24">
        <f>+AQ108+AR108+AS108+AT108+AU108+AV108</f>
        <v>46.961852050229126</v>
      </c>
      <c r="BN108" s="24">
        <f>+BD108</f>
        <v>34.42837588525858</v>
      </c>
      <c r="BP108" s="24">
        <f>AK108</f>
        <v>3.4220079747664105</v>
      </c>
      <c r="BQ108" s="4">
        <f>+BK108*BP108/100</f>
        <v>574.8631196810093</v>
      </c>
    </row>
    <row r="109" spans="5:69" ht="12.75">
      <c r="E109" t="s">
        <v>199</v>
      </c>
      <c r="F109" s="25">
        <f aca="true" t="shared" si="99" ref="F109:AC109">+SUM(F31:F62)</f>
        <v>272097</v>
      </c>
      <c r="G109" s="25">
        <f t="shared" si="99"/>
        <v>52046</v>
      </c>
      <c r="H109" s="25">
        <f t="shared" si="99"/>
        <v>32831</v>
      </c>
      <c r="I109" s="25">
        <f t="shared" si="99"/>
        <v>2036</v>
      </c>
      <c r="J109" s="25">
        <f t="shared" si="99"/>
        <v>15228</v>
      </c>
      <c r="K109" s="25">
        <f t="shared" si="99"/>
        <v>894</v>
      </c>
      <c r="L109" s="25">
        <f t="shared" si="99"/>
        <v>1055</v>
      </c>
      <c r="M109" s="25">
        <f t="shared" si="99"/>
        <v>52044</v>
      </c>
      <c r="N109" s="25">
        <f t="shared" si="99"/>
        <v>23426</v>
      </c>
      <c r="O109" s="25">
        <f t="shared" si="99"/>
        <v>2882</v>
      </c>
      <c r="P109" s="25">
        <f t="shared" si="99"/>
        <v>2610</v>
      </c>
      <c r="Q109" s="25">
        <f t="shared" si="99"/>
        <v>1041</v>
      </c>
      <c r="R109" s="25">
        <f t="shared" si="99"/>
        <v>5102</v>
      </c>
      <c r="S109" s="25">
        <f t="shared" si="99"/>
        <v>16883</v>
      </c>
      <c r="T109" s="25">
        <f t="shared" si="99"/>
        <v>100</v>
      </c>
      <c r="U109" s="25">
        <f t="shared" si="99"/>
        <v>52044</v>
      </c>
      <c r="V109" s="25">
        <f t="shared" si="99"/>
        <v>4246</v>
      </c>
      <c r="W109" s="25">
        <f t="shared" si="99"/>
        <v>4596</v>
      </c>
      <c r="X109" s="25">
        <f t="shared" si="99"/>
        <v>27986</v>
      </c>
      <c r="Y109" s="25">
        <f t="shared" si="99"/>
        <v>322</v>
      </c>
      <c r="Z109" s="25">
        <f t="shared" si="99"/>
        <v>401</v>
      </c>
      <c r="AA109" s="25">
        <f t="shared" si="99"/>
        <v>1924</v>
      </c>
      <c r="AB109" s="25">
        <f t="shared" si="99"/>
        <v>12569</v>
      </c>
      <c r="AC109" s="25">
        <f t="shared" si="99"/>
        <v>52044</v>
      </c>
      <c r="AH109" t="s">
        <v>199</v>
      </c>
      <c r="AI109" s="25">
        <f>+SUM(AI31:AI62)</f>
        <v>52046</v>
      </c>
      <c r="AJ109" s="41">
        <f t="shared" si="96"/>
        <v>63.08316040273615</v>
      </c>
      <c r="AK109" s="41">
        <f t="shared" si="96"/>
        <v>3.9120743985858115</v>
      </c>
      <c r="AL109" s="41">
        <f t="shared" si="96"/>
        <v>29.259857044039663</v>
      </c>
      <c r="AM109" s="41">
        <f t="shared" si="96"/>
        <v>1.717777265390823</v>
      </c>
      <c r="AN109" s="41">
        <f t="shared" si="96"/>
        <v>2.0271308892475597</v>
      </c>
      <c r="AO109" s="41">
        <f>+SUM(AJ109:AN109)</f>
        <v>100</v>
      </c>
      <c r="AP109" s="41">
        <f t="shared" si="97"/>
        <v>45.0119129966951</v>
      </c>
      <c r="AQ109" s="41">
        <f t="shared" si="97"/>
        <v>5.53762201214357</v>
      </c>
      <c r="AR109" s="41">
        <f t="shared" si="97"/>
        <v>5.014987318422873</v>
      </c>
      <c r="AS109" s="41">
        <f t="shared" si="97"/>
        <v>2.0002305741295827</v>
      </c>
      <c r="AT109" s="41">
        <f t="shared" si="97"/>
        <v>9.803243409422796</v>
      </c>
      <c r="AU109" s="41">
        <f t="shared" si="97"/>
        <v>32.43985858120052</v>
      </c>
      <c r="AV109" s="41">
        <f t="shared" si="97"/>
        <v>0.19214510798555068</v>
      </c>
      <c r="AW109" s="41">
        <f>+SUM(AP109:AV109)</f>
        <v>99.99999999999999</v>
      </c>
      <c r="AX109" s="41">
        <f t="shared" si="98"/>
        <v>8.158481285066483</v>
      </c>
      <c r="AY109" s="41">
        <f t="shared" si="98"/>
        <v>8.830989163015909</v>
      </c>
      <c r="AZ109" s="41">
        <f t="shared" si="98"/>
        <v>53.77372992083621</v>
      </c>
      <c r="BA109" s="41">
        <f t="shared" si="98"/>
        <v>0.6187072477134732</v>
      </c>
      <c r="BB109" s="41">
        <f t="shared" si="98"/>
        <v>0.7705018830220582</v>
      </c>
      <c r="BC109" s="41">
        <f t="shared" si="98"/>
        <v>3.6968718776419953</v>
      </c>
      <c r="BD109" s="41">
        <f t="shared" si="98"/>
        <v>24.150718622703867</v>
      </c>
      <c r="BI109" t="s">
        <v>199</v>
      </c>
      <c r="BJ109" s="25">
        <f>+SUM(BJ31:BJ62)</f>
        <v>272097</v>
      </c>
      <c r="BK109" s="25">
        <f>+SUM(BK31:BK62)</f>
        <v>52046</v>
      </c>
      <c r="BL109" s="24">
        <f>AK109+AL109+AM109+AN109</f>
        <v>36.91683959726385</v>
      </c>
      <c r="BM109" s="24">
        <f>+AQ109+AR109+AS109+AT109+AU109+AV109</f>
        <v>54.9880870033049</v>
      </c>
      <c r="BN109" s="24">
        <f>+BD109</f>
        <v>24.150718622703867</v>
      </c>
      <c r="BP109" s="24">
        <f>AK109</f>
        <v>3.9120743985858115</v>
      </c>
      <c r="BQ109" s="4">
        <f>+BK109*BP109/100</f>
        <v>2036.0782414879714</v>
      </c>
    </row>
    <row r="110" spans="5:69" ht="12.75">
      <c r="E110" t="s">
        <v>200</v>
      </c>
      <c r="F110" s="25">
        <f aca="true" t="shared" si="100" ref="F110:AC110">+SUM(F63:F91)</f>
        <v>323152</v>
      </c>
      <c r="G110" s="25">
        <f t="shared" si="100"/>
        <v>66679</v>
      </c>
      <c r="H110" s="25">
        <f t="shared" si="100"/>
        <v>49858</v>
      </c>
      <c r="I110" s="25">
        <f t="shared" si="100"/>
        <v>2847</v>
      </c>
      <c r="J110" s="25">
        <f t="shared" si="100"/>
        <v>12419</v>
      </c>
      <c r="K110" s="25">
        <f t="shared" si="100"/>
        <v>1099</v>
      </c>
      <c r="L110" s="25">
        <f t="shared" si="100"/>
        <v>452</v>
      </c>
      <c r="M110" s="25">
        <f t="shared" si="100"/>
        <v>66675</v>
      </c>
      <c r="N110" s="25">
        <f t="shared" si="100"/>
        <v>31718</v>
      </c>
      <c r="O110" s="25">
        <f t="shared" si="100"/>
        <v>3949</v>
      </c>
      <c r="P110" s="25">
        <f t="shared" si="100"/>
        <v>3664</v>
      </c>
      <c r="Q110" s="25">
        <f t="shared" si="100"/>
        <v>866</v>
      </c>
      <c r="R110" s="25">
        <f t="shared" si="100"/>
        <v>13296</v>
      </c>
      <c r="S110" s="25">
        <f t="shared" si="100"/>
        <v>13033</v>
      </c>
      <c r="T110" s="25">
        <f t="shared" si="100"/>
        <v>149</v>
      </c>
      <c r="U110" s="25">
        <f t="shared" si="100"/>
        <v>66675</v>
      </c>
      <c r="V110" s="25">
        <f t="shared" si="100"/>
        <v>6898</v>
      </c>
      <c r="W110" s="25">
        <f t="shared" si="100"/>
        <v>6026</v>
      </c>
      <c r="X110" s="25">
        <f t="shared" si="100"/>
        <v>38241</v>
      </c>
      <c r="Y110" s="25">
        <f t="shared" si="100"/>
        <v>618</v>
      </c>
      <c r="Z110" s="25">
        <f t="shared" si="100"/>
        <v>203</v>
      </c>
      <c r="AA110" s="25">
        <f t="shared" si="100"/>
        <v>1807</v>
      </c>
      <c r="AB110" s="25">
        <f t="shared" si="100"/>
        <v>12882</v>
      </c>
      <c r="AC110" s="25">
        <f t="shared" si="100"/>
        <v>66675</v>
      </c>
      <c r="AH110" t="s">
        <v>200</v>
      </c>
      <c r="AI110" s="25">
        <f>+SUM(AI63:AI91)</f>
        <v>66679</v>
      </c>
      <c r="AJ110" s="41">
        <f t="shared" si="96"/>
        <v>74.77765279340083</v>
      </c>
      <c r="AK110" s="41">
        <f t="shared" si="96"/>
        <v>4.269966254218223</v>
      </c>
      <c r="AL110" s="41">
        <f t="shared" si="96"/>
        <v>18.626171728533933</v>
      </c>
      <c r="AM110" s="41">
        <f t="shared" si="96"/>
        <v>1.648293963254593</v>
      </c>
      <c r="AN110" s="41">
        <f t="shared" si="96"/>
        <v>0.677915260592426</v>
      </c>
      <c r="AO110" s="41">
        <f>+SUM(AJ110:AN110)</f>
        <v>100</v>
      </c>
      <c r="AP110" s="41">
        <f t="shared" si="97"/>
        <v>47.57105361829772</v>
      </c>
      <c r="AQ110" s="41">
        <f t="shared" si="97"/>
        <v>5.922759655043119</v>
      </c>
      <c r="AR110" s="41">
        <f t="shared" si="97"/>
        <v>5.495313085864266</v>
      </c>
      <c r="AS110" s="41">
        <f t="shared" si="97"/>
        <v>1.2988376452943382</v>
      </c>
      <c r="AT110" s="41">
        <f t="shared" si="97"/>
        <v>19.94150731158605</v>
      </c>
      <c r="AU110" s="41">
        <f t="shared" si="97"/>
        <v>19.54705661792276</v>
      </c>
      <c r="AV110" s="41">
        <f t="shared" si="97"/>
        <v>0.22347206599175104</v>
      </c>
      <c r="AW110" s="41">
        <f>+SUM(AP110:AV110)</f>
        <v>100.00000000000001</v>
      </c>
      <c r="AX110" s="41">
        <f t="shared" si="98"/>
        <v>10.34570678665167</v>
      </c>
      <c r="AY110" s="41">
        <f t="shared" si="98"/>
        <v>9.037870266216723</v>
      </c>
      <c r="AZ110" s="41">
        <f t="shared" si="98"/>
        <v>57.354330708661415</v>
      </c>
      <c r="BA110" s="41">
        <f t="shared" si="98"/>
        <v>0.9268841394825647</v>
      </c>
      <c r="BB110" s="41">
        <f t="shared" si="98"/>
        <v>0.30446194225721784</v>
      </c>
      <c r="BC110" s="41">
        <f t="shared" si="98"/>
        <v>2.7101612298462694</v>
      </c>
      <c r="BD110" s="41">
        <f t="shared" si="98"/>
        <v>19.32058492688414</v>
      </c>
      <c r="BI110" t="s">
        <v>200</v>
      </c>
      <c r="BJ110" s="25">
        <f>+SUM(BJ63:BJ91)</f>
        <v>323152</v>
      </c>
      <c r="BK110" s="25">
        <f>+SUM(BK63:BK91)</f>
        <v>66679</v>
      </c>
      <c r="BL110" s="24">
        <f>AK110+AL110+AM110+AN110</f>
        <v>25.22234720659917</v>
      </c>
      <c r="BM110" s="24">
        <f>+AQ110+AR110+AS110+AT110+AU110+AV110</f>
        <v>52.42894638170228</v>
      </c>
      <c r="BN110" s="24">
        <f>+BD110</f>
        <v>19.32058492688414</v>
      </c>
      <c r="BP110" s="24">
        <f>AK110</f>
        <v>4.269966254218223</v>
      </c>
      <c r="BQ110" s="4">
        <f>+BK110*BP110/100</f>
        <v>2847.1707986501688</v>
      </c>
    </row>
    <row r="111" spans="5:69" ht="12.75">
      <c r="E111" t="s">
        <v>201</v>
      </c>
      <c r="F111" s="25">
        <f aca="true" t="shared" si="101" ref="F111:AC111">+SUM(F92:F101)</f>
        <v>204814</v>
      </c>
      <c r="G111" s="25">
        <f t="shared" si="101"/>
        <v>46408</v>
      </c>
      <c r="H111" s="25">
        <f t="shared" si="101"/>
        <v>38688</v>
      </c>
      <c r="I111" s="25">
        <f t="shared" si="101"/>
        <v>2493</v>
      </c>
      <c r="J111" s="25">
        <f t="shared" si="101"/>
        <v>4356</v>
      </c>
      <c r="K111" s="25">
        <f t="shared" si="101"/>
        <v>747</v>
      </c>
      <c r="L111" s="25">
        <f t="shared" si="101"/>
        <v>119</v>
      </c>
      <c r="M111" s="25">
        <f t="shared" si="101"/>
        <v>46403</v>
      </c>
      <c r="N111" s="25">
        <f t="shared" si="101"/>
        <v>22008</v>
      </c>
      <c r="O111" s="25">
        <f t="shared" si="101"/>
        <v>2853</v>
      </c>
      <c r="P111" s="25">
        <f t="shared" si="101"/>
        <v>2751</v>
      </c>
      <c r="Q111" s="25">
        <f t="shared" si="101"/>
        <v>1584</v>
      </c>
      <c r="R111" s="25">
        <f t="shared" si="101"/>
        <v>10732</v>
      </c>
      <c r="S111" s="25">
        <f t="shared" si="101"/>
        <v>6383</v>
      </c>
      <c r="T111" s="25">
        <f t="shared" si="101"/>
        <v>92</v>
      </c>
      <c r="U111" s="25">
        <f t="shared" si="101"/>
        <v>46403</v>
      </c>
      <c r="V111" s="25">
        <f t="shared" si="101"/>
        <v>11277</v>
      </c>
      <c r="W111" s="25">
        <f t="shared" si="101"/>
        <v>5090</v>
      </c>
      <c r="X111" s="25">
        <f t="shared" si="101"/>
        <v>20506</v>
      </c>
      <c r="Y111" s="25">
        <f t="shared" si="101"/>
        <v>1172</v>
      </c>
      <c r="Z111" s="25">
        <f t="shared" si="101"/>
        <v>204</v>
      </c>
      <c r="AA111" s="25">
        <f t="shared" si="101"/>
        <v>1423</v>
      </c>
      <c r="AB111" s="25">
        <f t="shared" si="101"/>
        <v>6731</v>
      </c>
      <c r="AC111" s="25">
        <f t="shared" si="101"/>
        <v>46403</v>
      </c>
      <c r="AH111" t="s">
        <v>201</v>
      </c>
      <c r="AI111" s="25">
        <f>+SUM(AI92:AI101)</f>
        <v>46408</v>
      </c>
      <c r="AJ111" s="41">
        <f t="shared" si="96"/>
        <v>83.37391978966878</v>
      </c>
      <c r="AK111" s="41">
        <f t="shared" si="96"/>
        <v>5.372497467836132</v>
      </c>
      <c r="AL111" s="41">
        <f t="shared" si="96"/>
        <v>9.387324095424866</v>
      </c>
      <c r="AM111" s="41">
        <f t="shared" si="96"/>
        <v>1.6098097105790572</v>
      </c>
      <c r="AN111" s="41">
        <f t="shared" si="96"/>
        <v>0.2564489364911752</v>
      </c>
      <c r="AO111" s="41">
        <f>+SUM(AJ111:AN111)</f>
        <v>100.00000000000001</v>
      </c>
      <c r="AP111" s="41">
        <f t="shared" si="97"/>
        <v>47.4279680193091</v>
      </c>
      <c r="AQ111" s="41">
        <f t="shared" si="97"/>
        <v>6.14830937654893</v>
      </c>
      <c r="AR111" s="41">
        <f t="shared" si="97"/>
        <v>5.928496002413637</v>
      </c>
      <c r="AS111" s="41">
        <f t="shared" si="97"/>
        <v>3.413572398336315</v>
      </c>
      <c r="AT111" s="41">
        <f t="shared" si="97"/>
        <v>23.127815011960433</v>
      </c>
      <c r="AU111" s="41">
        <f t="shared" si="97"/>
        <v>13.755576148093873</v>
      </c>
      <c r="AV111" s="41">
        <f t="shared" si="97"/>
        <v>0.19826304333771522</v>
      </c>
      <c r="AW111" s="41">
        <f>+SUM(AP111:AV111)</f>
        <v>100.00000000000001</v>
      </c>
      <c r="AX111" s="41">
        <f t="shared" si="98"/>
        <v>24.302308040428418</v>
      </c>
      <c r="AY111" s="41">
        <f t="shared" si="98"/>
        <v>10.96911837596707</v>
      </c>
      <c r="AZ111" s="41">
        <f t="shared" si="98"/>
        <v>44.191108333512915</v>
      </c>
      <c r="BA111" s="41">
        <f t="shared" si="98"/>
        <v>2.5256987694761115</v>
      </c>
      <c r="BB111" s="41">
        <f t="shared" si="98"/>
        <v>0.43962674827058595</v>
      </c>
      <c r="BC111" s="41">
        <f t="shared" si="98"/>
        <v>3.0666120724953125</v>
      </c>
      <c r="BD111" s="41">
        <f t="shared" si="98"/>
        <v>14.505527659849578</v>
      </c>
      <c r="BI111" t="s">
        <v>201</v>
      </c>
      <c r="BJ111" s="25">
        <f>+SUM(BJ92:BJ101)</f>
        <v>204814</v>
      </c>
      <c r="BK111" s="25">
        <f>+SUM(BK92:BK101)</f>
        <v>46408</v>
      </c>
      <c r="BL111" s="24">
        <f>AK111+AL111+AM111+AN111</f>
        <v>16.62608021033123</v>
      </c>
      <c r="BM111" s="24">
        <f>+AQ111+AR111+AS111+AT111+AU111+AV111</f>
        <v>52.57203198069091</v>
      </c>
      <c r="BN111" s="24">
        <f>+BD111</f>
        <v>14.505527659849578</v>
      </c>
      <c r="BP111" s="24">
        <f>AK111</f>
        <v>5.372497467836132</v>
      </c>
      <c r="BQ111" s="4">
        <f>+BK111*BP111/100</f>
        <v>2493.268624873392</v>
      </c>
    </row>
    <row r="112" spans="5:69" ht="12.75">
      <c r="E112" t="s">
        <v>202</v>
      </c>
      <c r="F112" s="25">
        <f aca="true" t="shared" si="102" ref="F112:AC112">+SUM(F10:F101)</f>
        <v>887096</v>
      </c>
      <c r="G112" s="25">
        <f t="shared" si="102"/>
        <v>181932</v>
      </c>
      <c r="H112" s="25">
        <f t="shared" si="102"/>
        <v>130165</v>
      </c>
      <c r="I112" s="25">
        <f t="shared" si="102"/>
        <v>7951</v>
      </c>
      <c r="J112" s="25">
        <f t="shared" si="102"/>
        <v>38745</v>
      </c>
      <c r="K112" s="25">
        <f t="shared" si="102"/>
        <v>3059</v>
      </c>
      <c r="L112" s="25">
        <f t="shared" si="102"/>
        <v>2005</v>
      </c>
      <c r="M112" s="25">
        <f t="shared" si="102"/>
        <v>181925</v>
      </c>
      <c r="N112" s="25">
        <f t="shared" si="102"/>
        <v>86064</v>
      </c>
      <c r="O112" s="25">
        <f t="shared" si="102"/>
        <v>10878</v>
      </c>
      <c r="P112" s="25">
        <f t="shared" si="102"/>
        <v>9848</v>
      </c>
      <c r="Q112" s="25">
        <f t="shared" si="102"/>
        <v>3570</v>
      </c>
      <c r="R112" s="25">
        <f t="shared" si="102"/>
        <v>30429</v>
      </c>
      <c r="S112" s="25">
        <f t="shared" si="102"/>
        <v>40771</v>
      </c>
      <c r="T112" s="25">
        <f t="shared" si="102"/>
        <v>365</v>
      </c>
      <c r="U112" s="25">
        <f t="shared" si="102"/>
        <v>181925</v>
      </c>
      <c r="V112" s="25">
        <f t="shared" si="102"/>
        <v>22965</v>
      </c>
      <c r="W112" s="25">
        <f t="shared" si="102"/>
        <v>16890</v>
      </c>
      <c r="X112" s="25">
        <f t="shared" si="102"/>
        <v>95584</v>
      </c>
      <c r="Y112" s="25">
        <f t="shared" si="102"/>
        <v>2142</v>
      </c>
      <c r="Z112" s="25">
        <f t="shared" si="102"/>
        <v>839</v>
      </c>
      <c r="AA112" s="25">
        <f t="shared" si="102"/>
        <v>5538</v>
      </c>
      <c r="AB112" s="25">
        <f t="shared" si="102"/>
        <v>37967</v>
      </c>
      <c r="AC112" s="25">
        <f t="shared" si="102"/>
        <v>181925</v>
      </c>
      <c r="AH112" t="s">
        <v>202</v>
      </c>
      <c r="AI112" s="25">
        <f>+SUM(AI10:AI101)</f>
        <v>181932</v>
      </c>
      <c r="AJ112" s="41">
        <f t="shared" si="96"/>
        <v>71.54871512986121</v>
      </c>
      <c r="AK112" s="41">
        <f t="shared" si="96"/>
        <v>4.370482341624296</v>
      </c>
      <c r="AL112" s="41">
        <f t="shared" si="96"/>
        <v>21.29723787274976</v>
      </c>
      <c r="AM112" s="41">
        <f t="shared" si="96"/>
        <v>1.681462140992167</v>
      </c>
      <c r="AN112" s="41">
        <f t="shared" si="96"/>
        <v>1.1021025147725712</v>
      </c>
      <c r="AO112" s="41">
        <f>+SUM(AJ112:AN112)</f>
        <v>100</v>
      </c>
      <c r="AP112" s="41">
        <f t="shared" si="97"/>
        <v>47.30740689844716</v>
      </c>
      <c r="AQ112" s="41">
        <f t="shared" si="97"/>
        <v>5.979387110072832</v>
      </c>
      <c r="AR112" s="41">
        <f t="shared" si="97"/>
        <v>5.413219733406623</v>
      </c>
      <c r="AS112" s="41">
        <f t="shared" si="97"/>
        <v>1.9623471210663737</v>
      </c>
      <c r="AT112" s="41">
        <f t="shared" si="97"/>
        <v>16.72612340250103</v>
      </c>
      <c r="AU112" s="41">
        <f t="shared" si="97"/>
        <v>22.410883605881544</v>
      </c>
      <c r="AV112" s="41">
        <f t="shared" si="97"/>
        <v>0.20063212862443314</v>
      </c>
      <c r="AW112" s="41">
        <f>+SUM(AP112:AV112)</f>
        <v>99.99999999999999</v>
      </c>
      <c r="AX112" s="41">
        <f t="shared" si="98"/>
        <v>12.623333791397554</v>
      </c>
      <c r="AY112" s="41">
        <f t="shared" si="98"/>
        <v>9.284045623196373</v>
      </c>
      <c r="AZ112" s="41">
        <f t="shared" si="98"/>
        <v>52.54033255462416</v>
      </c>
      <c r="BA112" s="41">
        <f t="shared" si="98"/>
        <v>1.1774082726398243</v>
      </c>
      <c r="BB112" s="41">
        <f t="shared" si="98"/>
        <v>0.461179057303834</v>
      </c>
      <c r="BC112" s="41">
        <f t="shared" si="98"/>
        <v>3.044111584444139</v>
      </c>
      <c r="BD112" s="41">
        <f t="shared" si="98"/>
        <v>20.86958911639412</v>
      </c>
      <c r="BI112" t="s">
        <v>202</v>
      </c>
      <c r="BJ112" s="25">
        <f>+SUM(BJ10:BJ101)</f>
        <v>887096</v>
      </c>
      <c r="BK112" s="25">
        <f>+SUM(BK10:BK101)</f>
        <v>181932</v>
      </c>
      <c r="BL112" s="24">
        <f>AK112+AL112+AM112+AN112</f>
        <v>28.451284870138796</v>
      </c>
      <c r="BM112" s="24">
        <f>+AQ112+AR112+AS112+AT112+AU112+AV112</f>
        <v>52.69259310155284</v>
      </c>
      <c r="BN112" s="24">
        <f>+BD112</f>
        <v>20.86958911639412</v>
      </c>
      <c r="BP112" s="24">
        <f>AK112</f>
        <v>4.370482341624296</v>
      </c>
      <c r="BQ112" s="4">
        <f>+BK112*BP112/100</f>
        <v>7951.305933763914</v>
      </c>
    </row>
    <row r="114" spans="5:66" ht="12.75">
      <c r="E114" t="s">
        <v>203</v>
      </c>
      <c r="F114" s="25">
        <f aca="true" t="shared" si="103" ref="F114:AC114">+F8</f>
        <v>6396890</v>
      </c>
      <c r="G114" s="25">
        <f t="shared" si="103"/>
        <v>1442770</v>
      </c>
      <c r="H114" s="25">
        <f t="shared" si="103"/>
        <v>1160239</v>
      </c>
      <c r="I114" s="25">
        <f t="shared" si="103"/>
        <v>86948</v>
      </c>
      <c r="J114" s="25">
        <f t="shared" si="103"/>
        <v>140566</v>
      </c>
      <c r="K114" s="25">
        <f t="shared" si="103"/>
        <v>49071</v>
      </c>
      <c r="L114" s="25">
        <f t="shared" si="103"/>
        <v>5946</v>
      </c>
      <c r="M114" s="25">
        <f t="shared" si="103"/>
        <v>1442770</v>
      </c>
      <c r="N114" s="25">
        <f t="shared" si="103"/>
        <v>845249</v>
      </c>
      <c r="O114" s="25">
        <f t="shared" si="103"/>
        <v>87673</v>
      </c>
      <c r="P114" s="25">
        <f t="shared" si="103"/>
        <v>135400</v>
      </c>
      <c r="Q114" s="25">
        <f t="shared" si="103"/>
        <v>63246</v>
      </c>
      <c r="R114" s="25">
        <f t="shared" si="103"/>
        <v>174094</v>
      </c>
      <c r="S114" s="25">
        <f t="shared" si="103"/>
        <v>123397</v>
      </c>
      <c r="T114" s="25">
        <f t="shared" si="103"/>
        <v>13711</v>
      </c>
      <c r="U114" s="25">
        <f t="shared" si="103"/>
        <v>1442770</v>
      </c>
      <c r="V114" s="25">
        <f t="shared" si="103"/>
        <v>534643</v>
      </c>
      <c r="W114" s="25">
        <f t="shared" si="103"/>
        <v>95621</v>
      </c>
      <c r="X114" s="25">
        <f t="shared" si="103"/>
        <v>586127</v>
      </c>
      <c r="Y114" s="25">
        <f t="shared" si="103"/>
        <v>39658</v>
      </c>
      <c r="Z114" s="25">
        <f t="shared" si="103"/>
        <v>9445</v>
      </c>
      <c r="AA114" s="25">
        <f t="shared" si="103"/>
        <v>58840</v>
      </c>
      <c r="AB114" s="25">
        <f t="shared" si="103"/>
        <v>118436</v>
      </c>
      <c r="AC114" s="25">
        <f t="shared" si="103"/>
        <v>1442770</v>
      </c>
      <c r="AH114" t="s">
        <v>203</v>
      </c>
      <c r="AI114" s="25">
        <f>+AI8</f>
        <v>1442770</v>
      </c>
      <c r="AJ114" s="41">
        <f>+H114/$M114*100</f>
        <v>80.41746085654678</v>
      </c>
      <c r="AK114" s="41">
        <f>+I114/$M114*100</f>
        <v>6.0264629843980675</v>
      </c>
      <c r="AL114" s="41">
        <f>+J114/$M114*100</f>
        <v>9.742786445517996</v>
      </c>
      <c r="AM114" s="41">
        <f>+K114/$M114*100</f>
        <v>3.4011658129847446</v>
      </c>
      <c r="AN114" s="41">
        <f>+L114/$M114*100</f>
        <v>0.41212390055240966</v>
      </c>
      <c r="AO114" s="41">
        <f>+SUM(AJ114:AN114)</f>
        <v>100</v>
      </c>
      <c r="AP114" s="41">
        <f aca="true" t="shared" si="104" ref="AP114:AV114">+N114/$U114*100</f>
        <v>58.58515217255695</v>
      </c>
      <c r="AQ114" s="41">
        <f t="shared" si="104"/>
        <v>6.076713544085336</v>
      </c>
      <c r="AR114" s="41">
        <f t="shared" si="104"/>
        <v>9.384725216077406</v>
      </c>
      <c r="AS114" s="41">
        <f t="shared" si="104"/>
        <v>4.383650893766852</v>
      </c>
      <c r="AT114" s="41">
        <f t="shared" si="104"/>
        <v>12.06664956992452</v>
      </c>
      <c r="AU114" s="41">
        <f t="shared" si="104"/>
        <v>8.552783881006674</v>
      </c>
      <c r="AV114" s="41">
        <f t="shared" si="104"/>
        <v>0.950324722582255</v>
      </c>
      <c r="AW114" s="41">
        <f>+SUM(AP114:AV114)</f>
        <v>99.99999999999999</v>
      </c>
      <c r="AX114" s="41">
        <f aca="true" t="shared" si="105" ref="AX114:BD114">+V114/$AC114*100</f>
        <v>37.05670342466228</v>
      </c>
      <c r="AY114" s="41">
        <f t="shared" si="105"/>
        <v>6.6275983004914165</v>
      </c>
      <c r="AZ114" s="41">
        <f t="shared" si="105"/>
        <v>40.625116962509615</v>
      </c>
      <c r="BA114" s="41">
        <f t="shared" si="105"/>
        <v>2.748740270451978</v>
      </c>
      <c r="BB114" s="41">
        <f t="shared" si="105"/>
        <v>0.6546434982706876</v>
      </c>
      <c r="BC114" s="41">
        <f t="shared" si="105"/>
        <v>4.078266113101881</v>
      </c>
      <c r="BD114" s="41">
        <f t="shared" si="105"/>
        <v>8.20893143051214</v>
      </c>
      <c r="BI114" t="s">
        <v>203</v>
      </c>
      <c r="BJ114" s="25">
        <f>+BJ8</f>
        <v>6396890</v>
      </c>
      <c r="BK114" s="25">
        <f>+BK8</f>
        <v>1442770</v>
      </c>
      <c r="BL114" s="24">
        <f>+BL8</f>
        <v>19.582539143453218</v>
      </c>
      <c r="BM114" s="24">
        <f>+BM8</f>
        <v>41.41484782744304</v>
      </c>
      <c r="BN114" s="24">
        <f>+BN8</f>
        <v>8.20893143051214</v>
      </c>
    </row>
    <row r="116" spans="40:45" ht="12.75">
      <c r="AN116" t="s">
        <v>204</v>
      </c>
      <c r="AP116" t="s">
        <v>205</v>
      </c>
      <c r="AR116" s="24">
        <f>+AP114+AR114+AT114+AQ114</f>
        <v>86.11324050264422</v>
      </c>
      <c r="AS116" s="24">
        <f>100-AR116</f>
        <v>13.886759497355783</v>
      </c>
    </row>
    <row r="117" spans="5:61" ht="12.75">
      <c r="E117" t="s">
        <v>206</v>
      </c>
      <c r="H117" s="53">
        <f>+H112/G112</f>
        <v>0.715459622276455</v>
      </c>
      <c r="N117" s="53">
        <f>(+N112+O112+P112+R112)/G112</f>
        <v>0.7542323505485566</v>
      </c>
      <c r="V117" s="53">
        <f>(+V112+W112+X112)/G112</f>
        <v>0.7444484752544906</v>
      </c>
      <c r="AN117" s="24">
        <f>100-AP117</f>
        <v>27.227280842706662</v>
      </c>
      <c r="AP117" s="24">
        <f>+AP108+AQ108+AR108+AT108</f>
        <v>72.77271915729334</v>
      </c>
      <c r="BI117" t="s">
        <v>207</v>
      </c>
    </row>
    <row r="118" spans="17:61" ht="12.75">
      <c r="Q118" s="25"/>
      <c r="AN118" s="24">
        <f>100-AP118</f>
        <v>34.63223426331565</v>
      </c>
      <c r="AP118" s="24">
        <f>+AP109+AQ109+AR109+AT109</f>
        <v>65.36776573668435</v>
      </c>
      <c r="BI118" t="s">
        <v>208</v>
      </c>
    </row>
    <row r="119" spans="40:42" ht="12.75">
      <c r="AN119" s="24">
        <f>100-AP119</f>
        <v>21.069366329208847</v>
      </c>
      <c r="AP119" s="24">
        <f>+AP110+AQ110+AR110+AT110</f>
        <v>78.93063367079115</v>
      </c>
    </row>
    <row r="120" spans="17:42" ht="12.75">
      <c r="Q120" s="5"/>
      <c r="AN120" s="24">
        <f>100-AP120</f>
        <v>17.367411589767897</v>
      </c>
      <c r="AP120" s="24">
        <f>+AP111+AQ111+AR111+AT111</f>
        <v>82.6325884102321</v>
      </c>
    </row>
    <row r="121" spans="40:42" ht="12.75">
      <c r="AN121" s="24">
        <f>100-AP121</f>
        <v>24.573862855572358</v>
      </c>
      <c r="AP121" s="24">
        <f>+AP112+AQ112+AR112+AT112</f>
        <v>75.42613714442764</v>
      </c>
    </row>
    <row r="358" spans="36:57" ht="12.75">
      <c r="AJ358" s="24"/>
      <c r="AK358" s="24"/>
      <c r="AL358" s="24"/>
      <c r="AM358" s="24"/>
      <c r="AN358" s="24"/>
      <c r="AO358" s="24"/>
      <c r="AP358" s="24"/>
      <c r="AQ358" s="24"/>
      <c r="AR358" s="24"/>
      <c r="AS358" s="24"/>
      <c r="AT358" s="24"/>
      <c r="AU358" s="24"/>
      <c r="AV358" s="24"/>
      <c r="AW358" s="24"/>
      <c r="AX358" s="24"/>
      <c r="AY358" s="24"/>
      <c r="AZ358" s="24"/>
      <c r="BA358" s="24"/>
      <c r="BB358" s="24"/>
      <c r="BC358" s="24"/>
      <c r="BD358" s="24"/>
      <c r="BE358" s="24"/>
    </row>
    <row r="359" spans="36:57" ht="12.75">
      <c r="AJ359" s="24"/>
      <c r="AK359" s="24"/>
      <c r="AL359" s="24"/>
      <c r="AM359" s="24"/>
      <c r="AN359" s="24"/>
      <c r="AO359" s="24"/>
      <c r="AP359" s="24"/>
      <c r="AQ359" s="24"/>
      <c r="AR359" s="24"/>
      <c r="AS359" s="24"/>
      <c r="AT359" s="24"/>
      <c r="AU359" s="24"/>
      <c r="AV359" s="24"/>
      <c r="AW359" s="24"/>
      <c r="AX359" s="24"/>
      <c r="AY359" s="24"/>
      <c r="AZ359" s="24"/>
      <c r="BA359" s="24"/>
      <c r="BB359" s="24"/>
      <c r="BC359" s="24"/>
      <c r="BD359" s="24"/>
      <c r="BE359" s="24"/>
    </row>
    <row r="360" spans="36:57" ht="12.75">
      <c r="AJ360" s="24"/>
      <c r="AK360" s="24"/>
      <c r="AL360" s="24"/>
      <c r="AM360" s="24"/>
      <c r="AN360" s="24"/>
      <c r="AO360" s="24"/>
      <c r="AP360" s="24"/>
      <c r="AQ360" s="24"/>
      <c r="AR360" s="24"/>
      <c r="AS360" s="24"/>
      <c r="AT360" s="24"/>
      <c r="AU360" s="24"/>
      <c r="AV360" s="24"/>
      <c r="AW360" s="24"/>
      <c r="AX360" s="24"/>
      <c r="AY360" s="24"/>
      <c r="AZ360" s="24"/>
      <c r="BA360" s="24"/>
      <c r="BB360" s="24"/>
      <c r="BC360" s="24"/>
      <c r="BD360" s="24"/>
      <c r="BE360" s="24"/>
    </row>
    <row r="361" spans="36:57" ht="12.75">
      <c r="AJ361" s="24"/>
      <c r="AK361" s="24"/>
      <c r="AL361" s="24"/>
      <c r="AM361" s="24"/>
      <c r="AN361" s="24"/>
      <c r="AO361" s="24"/>
      <c r="AP361" s="24"/>
      <c r="AQ361" s="24"/>
      <c r="AR361" s="24"/>
      <c r="AS361" s="24"/>
      <c r="AT361" s="24"/>
      <c r="AU361" s="24"/>
      <c r="AV361" s="24"/>
      <c r="AW361" s="24"/>
      <c r="AX361" s="24"/>
      <c r="AY361" s="24"/>
      <c r="AZ361" s="24"/>
      <c r="BA361" s="24"/>
      <c r="BB361" s="24"/>
      <c r="BC361" s="24"/>
      <c r="BD361" s="24"/>
      <c r="BE361" s="24"/>
    </row>
    <row r="362" spans="36:57" ht="12.75">
      <c r="AJ362" s="24"/>
      <c r="AK362" s="24"/>
      <c r="AL362" s="24"/>
      <c r="AM362" s="24"/>
      <c r="AN362" s="24"/>
      <c r="AO362" s="24"/>
      <c r="AP362" s="24"/>
      <c r="AQ362" s="24"/>
      <c r="AR362" s="24"/>
      <c r="AS362" s="24"/>
      <c r="AT362" s="24"/>
      <c r="AU362" s="24"/>
      <c r="AV362" s="24"/>
      <c r="AW362" s="24"/>
      <c r="AX362" s="24"/>
      <c r="AY362" s="24"/>
      <c r="AZ362" s="24"/>
      <c r="BA362" s="24"/>
      <c r="BB362" s="24"/>
      <c r="BC362" s="24"/>
      <c r="BD362" s="24"/>
      <c r="BE362" s="24"/>
    </row>
    <row r="363" spans="36:57" ht="12.75">
      <c r="AJ363" s="24"/>
      <c r="AK363" s="24"/>
      <c r="AL363" s="24"/>
      <c r="AM363" s="24"/>
      <c r="AN363" s="24"/>
      <c r="AO363" s="24"/>
      <c r="AP363" s="24"/>
      <c r="AQ363" s="24"/>
      <c r="AR363" s="24"/>
      <c r="AS363" s="24"/>
      <c r="AT363" s="24"/>
      <c r="AU363" s="24"/>
      <c r="AV363" s="24"/>
      <c r="AW363" s="24"/>
      <c r="AX363" s="24"/>
      <c r="AY363" s="24"/>
      <c r="AZ363" s="24"/>
      <c r="BA363" s="24"/>
      <c r="BB363" s="24"/>
      <c r="BC363" s="24"/>
      <c r="BD363" s="24"/>
      <c r="BE363" s="24"/>
    </row>
    <row r="364" spans="36:57" ht="12.75">
      <c r="AJ364" s="24"/>
      <c r="AK364" s="24"/>
      <c r="AL364" s="24"/>
      <c r="AM364" s="24"/>
      <c r="AN364" s="24"/>
      <c r="AO364" s="24"/>
      <c r="AP364" s="24"/>
      <c r="AQ364" s="24"/>
      <c r="AR364" s="24"/>
      <c r="AS364" s="24"/>
      <c r="AT364" s="24"/>
      <c r="AU364" s="24"/>
      <c r="AV364" s="24"/>
      <c r="AW364" s="24"/>
      <c r="AX364" s="24"/>
      <c r="AY364" s="24"/>
      <c r="AZ364" s="24"/>
      <c r="BA364" s="24"/>
      <c r="BB364" s="24"/>
      <c r="BC364" s="24"/>
      <c r="BD364" s="24"/>
      <c r="BE364" s="24"/>
    </row>
    <row r="365" spans="36:57" ht="12.75">
      <c r="AJ365" s="24"/>
      <c r="AK365" s="24"/>
      <c r="AL365" s="24"/>
      <c r="AM365" s="24"/>
      <c r="AN365" s="24"/>
      <c r="AO365" s="24"/>
      <c r="AP365" s="24"/>
      <c r="AQ365" s="24"/>
      <c r="AR365" s="24"/>
      <c r="AS365" s="24"/>
      <c r="AT365" s="24"/>
      <c r="AU365" s="24"/>
      <c r="AV365" s="24"/>
      <c r="AW365" s="24"/>
      <c r="AX365" s="24"/>
      <c r="AY365" s="24"/>
      <c r="AZ365" s="24"/>
      <c r="BA365" s="24"/>
      <c r="BB365" s="24"/>
      <c r="BC365" s="24"/>
      <c r="BD365" s="24"/>
      <c r="BE365" s="24"/>
    </row>
    <row r="366" spans="36:57" ht="12.75">
      <c r="AJ366" s="24"/>
      <c r="AK366" s="24"/>
      <c r="AL366" s="24"/>
      <c r="AM366" s="24"/>
      <c r="AN366" s="24"/>
      <c r="AO366" s="24"/>
      <c r="AP366" s="24"/>
      <c r="AQ366" s="24"/>
      <c r="AR366" s="24"/>
      <c r="AS366" s="24"/>
      <c r="AT366" s="24"/>
      <c r="AU366" s="24"/>
      <c r="AV366" s="24"/>
      <c r="AW366" s="24"/>
      <c r="AX366" s="24"/>
      <c r="AY366" s="24"/>
      <c r="AZ366" s="24"/>
      <c r="BA366" s="24"/>
      <c r="BB366" s="24"/>
      <c r="BC366" s="24"/>
      <c r="BD366" s="24"/>
      <c r="BE366" s="24"/>
    </row>
    <row r="367" spans="36:57" ht="12.75">
      <c r="AJ367" s="24"/>
      <c r="AK367" s="24"/>
      <c r="AL367" s="24"/>
      <c r="AM367" s="24"/>
      <c r="AN367" s="24"/>
      <c r="AO367" s="24"/>
      <c r="AP367" s="24"/>
      <c r="AQ367" s="24"/>
      <c r="AR367" s="24"/>
      <c r="AS367" s="24"/>
      <c r="AT367" s="24"/>
      <c r="AU367" s="24"/>
      <c r="AV367" s="24"/>
      <c r="AW367" s="24"/>
      <c r="AX367" s="24"/>
      <c r="AY367" s="24"/>
      <c r="AZ367" s="24"/>
      <c r="BA367" s="24"/>
      <c r="BB367" s="24"/>
      <c r="BC367" s="24"/>
      <c r="BD367" s="24"/>
      <c r="BE367" s="24"/>
    </row>
    <row r="368" spans="36:57" ht="12.75">
      <c r="AJ368" s="24"/>
      <c r="AK368" s="24"/>
      <c r="AL368" s="24"/>
      <c r="AM368" s="24"/>
      <c r="AN368" s="24"/>
      <c r="AO368" s="24"/>
      <c r="AP368" s="24"/>
      <c r="AQ368" s="24"/>
      <c r="AR368" s="24"/>
      <c r="AS368" s="24"/>
      <c r="AT368" s="24"/>
      <c r="AU368" s="24"/>
      <c r="AV368" s="24"/>
      <c r="AW368" s="24"/>
      <c r="AX368" s="24"/>
      <c r="AY368" s="24"/>
      <c r="AZ368" s="24"/>
      <c r="BA368" s="24"/>
      <c r="BB368" s="24"/>
      <c r="BC368" s="24"/>
      <c r="BD368" s="24"/>
      <c r="BE368" s="24"/>
    </row>
    <row r="369" spans="36:57" ht="12.75">
      <c r="AJ369" s="24"/>
      <c r="AK369" s="24"/>
      <c r="AL369" s="24"/>
      <c r="AM369" s="24"/>
      <c r="AN369" s="24"/>
      <c r="AO369" s="24"/>
      <c r="AP369" s="24"/>
      <c r="AQ369" s="24"/>
      <c r="AR369" s="24"/>
      <c r="AS369" s="24"/>
      <c r="AT369" s="24"/>
      <c r="AU369" s="24"/>
      <c r="AV369" s="24"/>
      <c r="AW369" s="24"/>
      <c r="AX369" s="24"/>
      <c r="AY369" s="24"/>
      <c r="AZ369" s="24"/>
      <c r="BA369" s="24"/>
      <c r="BB369" s="24"/>
      <c r="BC369" s="24"/>
      <c r="BD369" s="24"/>
      <c r="BE369" s="24"/>
    </row>
    <row r="370" spans="36:57" ht="12.75">
      <c r="AJ370" s="24"/>
      <c r="AK370" s="24"/>
      <c r="AL370" s="24"/>
      <c r="AM370" s="24"/>
      <c r="AN370" s="24"/>
      <c r="AO370" s="24"/>
      <c r="AP370" s="24"/>
      <c r="AQ370" s="24"/>
      <c r="AR370" s="24"/>
      <c r="AS370" s="24"/>
      <c r="AT370" s="24"/>
      <c r="AU370" s="24"/>
      <c r="AV370" s="24"/>
      <c r="AW370" s="24"/>
      <c r="AX370" s="24"/>
      <c r="AY370" s="24"/>
      <c r="AZ370" s="24"/>
      <c r="BA370" s="24"/>
      <c r="BB370" s="24"/>
      <c r="BC370" s="24"/>
      <c r="BD370" s="24"/>
      <c r="BE370" s="24"/>
    </row>
    <row r="371" spans="36:57" ht="12.75">
      <c r="AJ371" s="24"/>
      <c r="AK371" s="24"/>
      <c r="AL371" s="24"/>
      <c r="AM371" s="24"/>
      <c r="AN371" s="24"/>
      <c r="AO371" s="24"/>
      <c r="AP371" s="24"/>
      <c r="AQ371" s="24"/>
      <c r="AR371" s="24"/>
      <c r="AS371" s="24"/>
      <c r="AT371" s="24"/>
      <c r="AU371" s="24"/>
      <c r="AV371" s="24"/>
      <c r="AW371" s="24"/>
      <c r="AX371" s="24"/>
      <c r="AY371" s="24"/>
      <c r="AZ371" s="24"/>
      <c r="BA371" s="24"/>
      <c r="BB371" s="24"/>
      <c r="BC371" s="24"/>
      <c r="BD371" s="24"/>
      <c r="BE371" s="24"/>
    </row>
    <row r="372" spans="36:57" ht="12.75">
      <c r="AJ372" s="24"/>
      <c r="AK372" s="24"/>
      <c r="AL372" s="24"/>
      <c r="AM372" s="24"/>
      <c r="AN372" s="24"/>
      <c r="AO372" s="24"/>
      <c r="AP372" s="24"/>
      <c r="AQ372" s="24"/>
      <c r="AR372" s="24"/>
      <c r="AS372" s="24"/>
      <c r="AT372" s="24"/>
      <c r="AU372" s="24"/>
      <c r="AV372" s="24"/>
      <c r="AW372" s="24"/>
      <c r="AX372" s="24"/>
      <c r="AY372" s="24"/>
      <c r="AZ372" s="24"/>
      <c r="BA372" s="24"/>
      <c r="BB372" s="24"/>
      <c r="BC372" s="24"/>
      <c r="BD372" s="24"/>
      <c r="BE372" s="24"/>
    </row>
    <row r="373" spans="36:57" ht="12.75">
      <c r="AJ373" s="24"/>
      <c r="AK373" s="24"/>
      <c r="AL373" s="24"/>
      <c r="AM373" s="24"/>
      <c r="AN373" s="24"/>
      <c r="AO373" s="24"/>
      <c r="AP373" s="24"/>
      <c r="AQ373" s="24"/>
      <c r="AR373" s="24"/>
      <c r="AS373" s="24"/>
      <c r="AT373" s="24"/>
      <c r="AU373" s="24"/>
      <c r="AV373" s="24"/>
      <c r="AW373" s="24"/>
      <c r="AX373" s="24"/>
      <c r="AY373" s="24"/>
      <c r="AZ373" s="24"/>
      <c r="BA373" s="24"/>
      <c r="BB373" s="24"/>
      <c r="BC373" s="24"/>
      <c r="BD373" s="24"/>
      <c r="BE373" s="24"/>
    </row>
    <row r="374" spans="36:57" ht="12.75">
      <c r="AJ374" s="24"/>
      <c r="AK374" s="24"/>
      <c r="AL374" s="24"/>
      <c r="AM374" s="24"/>
      <c r="AN374" s="24"/>
      <c r="AO374" s="24"/>
      <c r="AP374" s="24"/>
      <c r="AQ374" s="24"/>
      <c r="AR374" s="24"/>
      <c r="AS374" s="24"/>
      <c r="AT374" s="24"/>
      <c r="AU374" s="24"/>
      <c r="AV374" s="24"/>
      <c r="AW374" s="24"/>
      <c r="AX374" s="24"/>
      <c r="AY374" s="24"/>
      <c r="AZ374" s="24"/>
      <c r="BA374" s="24"/>
      <c r="BB374" s="24"/>
      <c r="BC374" s="24"/>
      <c r="BD374" s="24"/>
      <c r="BE374" s="24"/>
    </row>
    <row r="375" spans="36:57" ht="12.75">
      <c r="AJ375" s="24"/>
      <c r="AK375" s="24"/>
      <c r="AL375" s="24"/>
      <c r="AM375" s="24"/>
      <c r="AN375" s="24"/>
      <c r="AO375" s="24"/>
      <c r="AP375" s="24"/>
      <c r="AQ375" s="24"/>
      <c r="AR375" s="24"/>
      <c r="AS375" s="24"/>
      <c r="AT375" s="24"/>
      <c r="AU375" s="24"/>
      <c r="AV375" s="24"/>
      <c r="AW375" s="24"/>
      <c r="AX375" s="24"/>
      <c r="AY375" s="24"/>
      <c r="AZ375" s="24"/>
      <c r="BA375" s="24"/>
      <c r="BB375" s="24"/>
      <c r="BC375" s="24"/>
      <c r="BD375" s="24"/>
      <c r="BE375" s="24"/>
    </row>
    <row r="376" spans="36:57" ht="12.75">
      <c r="AJ376" s="24"/>
      <c r="AK376" s="24"/>
      <c r="AL376" s="24"/>
      <c r="AM376" s="24"/>
      <c r="AN376" s="24"/>
      <c r="AO376" s="24"/>
      <c r="AP376" s="24"/>
      <c r="AQ376" s="24"/>
      <c r="AR376" s="24"/>
      <c r="AS376" s="24"/>
      <c r="AT376" s="24"/>
      <c r="AU376" s="24"/>
      <c r="AV376" s="24"/>
      <c r="AW376" s="24"/>
      <c r="AX376" s="24"/>
      <c r="AY376" s="24"/>
      <c r="AZ376" s="24"/>
      <c r="BA376" s="24"/>
      <c r="BB376" s="24"/>
      <c r="BC376" s="24"/>
      <c r="BD376" s="24"/>
      <c r="BE376" s="24"/>
    </row>
    <row r="377" spans="36:57" ht="12.75">
      <c r="AJ377" s="24"/>
      <c r="AK377" s="24"/>
      <c r="AL377" s="24"/>
      <c r="AM377" s="24"/>
      <c r="AN377" s="24"/>
      <c r="AO377" s="24"/>
      <c r="AP377" s="24"/>
      <c r="AQ377" s="24"/>
      <c r="AR377" s="24"/>
      <c r="AS377" s="24"/>
      <c r="AT377" s="24"/>
      <c r="AU377" s="24"/>
      <c r="AV377" s="24"/>
      <c r="AW377" s="24"/>
      <c r="AX377" s="24"/>
      <c r="AY377" s="24"/>
      <c r="AZ377" s="24"/>
      <c r="BA377" s="24"/>
      <c r="BB377" s="24"/>
      <c r="BC377" s="24"/>
      <c r="BD377" s="24"/>
      <c r="BE377" s="24"/>
    </row>
    <row r="378" spans="36:57" ht="12.75">
      <c r="AJ378" s="24"/>
      <c r="AK378" s="24"/>
      <c r="AL378" s="24"/>
      <c r="AM378" s="24"/>
      <c r="AN378" s="24"/>
      <c r="AO378" s="24"/>
      <c r="AP378" s="24"/>
      <c r="AQ378" s="24"/>
      <c r="AR378" s="24"/>
      <c r="AS378" s="24"/>
      <c r="AT378" s="24"/>
      <c r="AU378" s="24"/>
      <c r="AV378" s="24"/>
      <c r="AW378" s="24"/>
      <c r="AX378" s="24"/>
      <c r="AY378" s="24"/>
      <c r="AZ378" s="24"/>
      <c r="BA378" s="24"/>
      <c r="BB378" s="24"/>
      <c r="BC378" s="24"/>
      <c r="BD378" s="24"/>
      <c r="BE378" s="24"/>
    </row>
    <row r="379" spans="36:57" ht="12.75">
      <c r="AJ379" s="24"/>
      <c r="AK379" s="24"/>
      <c r="AL379" s="24"/>
      <c r="AM379" s="24"/>
      <c r="AN379" s="24"/>
      <c r="AO379" s="24"/>
      <c r="AP379" s="24"/>
      <c r="AQ379" s="24"/>
      <c r="AR379" s="24"/>
      <c r="AS379" s="24"/>
      <c r="AT379" s="24"/>
      <c r="AU379" s="24"/>
      <c r="AV379" s="24"/>
      <c r="AW379" s="24"/>
      <c r="AX379" s="24"/>
      <c r="AY379" s="24"/>
      <c r="AZ379" s="24"/>
      <c r="BA379" s="24"/>
      <c r="BB379" s="24"/>
      <c r="BC379" s="24"/>
      <c r="BD379" s="24"/>
      <c r="BE379" s="24"/>
    </row>
    <row r="380" spans="36:57" ht="12.75">
      <c r="AJ380" s="24"/>
      <c r="AK380" s="24"/>
      <c r="AL380" s="24"/>
      <c r="AM380" s="24"/>
      <c r="AN380" s="24"/>
      <c r="AO380" s="24"/>
      <c r="AP380" s="24"/>
      <c r="AQ380" s="24"/>
      <c r="AR380" s="24"/>
      <c r="AS380" s="24"/>
      <c r="AT380" s="24"/>
      <c r="AU380" s="24"/>
      <c r="AV380" s="24"/>
      <c r="AW380" s="24"/>
      <c r="AX380" s="24"/>
      <c r="AY380" s="24"/>
      <c r="AZ380" s="24"/>
      <c r="BA380" s="24"/>
      <c r="BB380" s="24"/>
      <c r="BC380" s="24"/>
      <c r="BD380" s="24"/>
      <c r="BE380" s="24"/>
    </row>
    <row r="381" spans="36:57" ht="12.75">
      <c r="AJ381" s="24"/>
      <c r="AK381" s="24"/>
      <c r="AL381" s="24"/>
      <c r="AM381" s="24"/>
      <c r="AN381" s="24"/>
      <c r="AO381" s="24"/>
      <c r="AP381" s="24"/>
      <c r="AQ381" s="24"/>
      <c r="AR381" s="24"/>
      <c r="AS381" s="24"/>
      <c r="AT381" s="24"/>
      <c r="AU381" s="24"/>
      <c r="AV381" s="24"/>
      <c r="AW381" s="24"/>
      <c r="AX381" s="24"/>
      <c r="AY381" s="24"/>
      <c r="AZ381" s="24"/>
      <c r="BA381" s="24"/>
      <c r="BB381" s="24"/>
      <c r="BC381" s="24"/>
      <c r="BD381" s="24"/>
      <c r="BE381" s="24"/>
    </row>
    <row r="382" spans="36:57" ht="12.75">
      <c r="AJ382" s="24"/>
      <c r="AK382" s="24"/>
      <c r="AL382" s="24"/>
      <c r="AM382" s="24"/>
      <c r="AN382" s="24"/>
      <c r="AO382" s="24"/>
      <c r="AP382" s="24"/>
      <c r="AQ382" s="24"/>
      <c r="AR382" s="24"/>
      <c r="AS382" s="24"/>
      <c r="AT382" s="24"/>
      <c r="AU382" s="24"/>
      <c r="AV382" s="24"/>
      <c r="AW382" s="24"/>
      <c r="AX382" s="24"/>
      <c r="AY382" s="24"/>
      <c r="AZ382" s="24"/>
      <c r="BA382" s="24"/>
      <c r="BB382" s="24"/>
      <c r="BC382" s="24"/>
      <c r="BD382" s="24"/>
      <c r="BE382" s="24"/>
    </row>
    <row r="383" spans="36:57" ht="12.75">
      <c r="AJ383" s="24"/>
      <c r="AK383" s="24"/>
      <c r="AL383" s="24"/>
      <c r="AM383" s="24"/>
      <c r="AN383" s="24"/>
      <c r="AO383" s="24"/>
      <c r="AP383" s="24"/>
      <c r="AQ383" s="24"/>
      <c r="AR383" s="24"/>
      <c r="AS383" s="24"/>
      <c r="AT383" s="24"/>
      <c r="AU383" s="24"/>
      <c r="AV383" s="24"/>
      <c r="AW383" s="24"/>
      <c r="AX383" s="24"/>
      <c r="AY383" s="24"/>
      <c r="AZ383" s="24"/>
      <c r="BA383" s="24"/>
      <c r="BB383" s="24"/>
      <c r="BC383" s="24"/>
      <c r="BD383" s="24"/>
      <c r="BE383" s="24"/>
    </row>
    <row r="384" spans="36:57" ht="12.75">
      <c r="AJ384" s="24"/>
      <c r="AK384" s="24"/>
      <c r="AL384" s="24"/>
      <c r="AM384" s="24"/>
      <c r="AN384" s="24"/>
      <c r="AO384" s="24"/>
      <c r="AP384" s="24"/>
      <c r="AQ384" s="24"/>
      <c r="AR384" s="24"/>
      <c r="AS384" s="24"/>
      <c r="AT384" s="24"/>
      <c r="AU384" s="24"/>
      <c r="AV384" s="24"/>
      <c r="AW384" s="24"/>
      <c r="AX384" s="24"/>
      <c r="AY384" s="24"/>
      <c r="AZ384" s="24"/>
      <c r="BA384" s="24"/>
      <c r="BB384" s="24"/>
      <c r="BC384" s="24"/>
      <c r="BD384" s="24"/>
      <c r="BE384" s="24"/>
    </row>
    <row r="385" spans="36:57" ht="12.75">
      <c r="AJ385" s="24"/>
      <c r="AK385" s="24"/>
      <c r="AL385" s="24"/>
      <c r="AM385" s="24"/>
      <c r="AN385" s="24"/>
      <c r="AO385" s="24"/>
      <c r="AP385" s="24"/>
      <c r="AQ385" s="24"/>
      <c r="AR385" s="24"/>
      <c r="AS385" s="24"/>
      <c r="AT385" s="24"/>
      <c r="AU385" s="24"/>
      <c r="AV385" s="24"/>
      <c r="AW385" s="24"/>
      <c r="AX385" s="24"/>
      <c r="AY385" s="24"/>
      <c r="AZ385" s="24"/>
      <c r="BA385" s="24"/>
      <c r="BB385" s="24"/>
      <c r="BC385" s="24"/>
      <c r="BD385" s="24"/>
      <c r="BE385" s="24"/>
    </row>
    <row r="386" spans="36:57" ht="12.75">
      <c r="AJ386" s="24"/>
      <c r="AK386" s="24"/>
      <c r="AL386" s="24"/>
      <c r="AM386" s="24"/>
      <c r="AN386" s="24"/>
      <c r="AO386" s="24"/>
      <c r="AP386" s="24"/>
      <c r="AQ386" s="24"/>
      <c r="AR386" s="24"/>
      <c r="AS386" s="24"/>
      <c r="AT386" s="24"/>
      <c r="AU386" s="24"/>
      <c r="AV386" s="24"/>
      <c r="AW386" s="24"/>
      <c r="AX386" s="24"/>
      <c r="AY386" s="24"/>
      <c r="AZ386" s="24"/>
      <c r="BA386" s="24"/>
      <c r="BB386" s="24"/>
      <c r="BC386" s="24"/>
      <c r="BD386" s="24"/>
      <c r="BE386" s="24"/>
    </row>
    <row r="387" spans="36:57" ht="12.75">
      <c r="AJ387" s="24"/>
      <c r="AK387" s="24"/>
      <c r="AL387" s="24"/>
      <c r="AM387" s="24"/>
      <c r="AN387" s="24"/>
      <c r="AO387" s="24"/>
      <c r="AP387" s="24"/>
      <c r="AQ387" s="24"/>
      <c r="AR387" s="24"/>
      <c r="AS387" s="24"/>
      <c r="AT387" s="24"/>
      <c r="AU387" s="24"/>
      <c r="AV387" s="24"/>
      <c r="AW387" s="24"/>
      <c r="AX387" s="24"/>
      <c r="AY387" s="24"/>
      <c r="AZ387" s="24"/>
      <c r="BA387" s="24"/>
      <c r="BB387" s="24"/>
      <c r="BC387" s="24"/>
      <c r="BD387" s="24"/>
      <c r="BE387" s="24"/>
    </row>
    <row r="388" spans="36:57" ht="12.75">
      <c r="AJ388" s="24"/>
      <c r="AK388" s="24"/>
      <c r="AL388" s="24"/>
      <c r="AM388" s="24"/>
      <c r="AN388" s="24"/>
      <c r="AO388" s="24"/>
      <c r="AP388" s="24"/>
      <c r="AQ388" s="24"/>
      <c r="AR388" s="24"/>
      <c r="AS388" s="24"/>
      <c r="AT388" s="24"/>
      <c r="AU388" s="24"/>
      <c r="AV388" s="24"/>
      <c r="AW388" s="24"/>
      <c r="AX388" s="24"/>
      <c r="AY388" s="24"/>
      <c r="AZ388" s="24"/>
      <c r="BA388" s="24"/>
      <c r="BB388" s="24"/>
      <c r="BC388" s="24"/>
      <c r="BD388" s="24"/>
      <c r="BE388" s="24"/>
    </row>
    <row r="389" spans="36:57" ht="12.75">
      <c r="AJ389" s="24"/>
      <c r="AK389" s="24"/>
      <c r="AL389" s="24"/>
      <c r="AM389" s="24"/>
      <c r="AN389" s="24"/>
      <c r="AO389" s="24"/>
      <c r="AP389" s="24"/>
      <c r="AQ389" s="24"/>
      <c r="AR389" s="24"/>
      <c r="AS389" s="24"/>
      <c r="AT389" s="24"/>
      <c r="AU389" s="24"/>
      <c r="AV389" s="24"/>
      <c r="AW389" s="24"/>
      <c r="AX389" s="24"/>
      <c r="AY389" s="24"/>
      <c r="AZ389" s="24"/>
      <c r="BA389" s="24"/>
      <c r="BB389" s="24"/>
      <c r="BC389" s="24"/>
      <c r="BD389" s="24"/>
      <c r="BE389" s="24"/>
    </row>
    <row r="390" spans="36:57" ht="12.75">
      <c r="AJ390" s="24"/>
      <c r="AK390" s="24"/>
      <c r="AL390" s="24"/>
      <c r="AM390" s="24"/>
      <c r="AN390" s="24"/>
      <c r="AO390" s="24"/>
      <c r="AP390" s="24"/>
      <c r="AQ390" s="24"/>
      <c r="AR390" s="24"/>
      <c r="AS390" s="24"/>
      <c r="AT390" s="24"/>
      <c r="AU390" s="24"/>
      <c r="AV390" s="24"/>
      <c r="AW390" s="24"/>
      <c r="AX390" s="24"/>
      <c r="AY390" s="24"/>
      <c r="AZ390" s="24"/>
      <c r="BA390" s="24"/>
      <c r="BB390" s="24"/>
      <c r="BC390" s="24"/>
      <c r="BD390" s="24"/>
      <c r="BE390" s="24"/>
    </row>
    <row r="391" spans="36:57" ht="12.75">
      <c r="AJ391" s="24"/>
      <c r="AK391" s="24"/>
      <c r="AL391" s="24"/>
      <c r="AM391" s="24"/>
      <c r="AN391" s="24"/>
      <c r="AO391" s="24"/>
      <c r="AP391" s="24"/>
      <c r="AQ391" s="24"/>
      <c r="AR391" s="24"/>
      <c r="AS391" s="24"/>
      <c r="AT391" s="24"/>
      <c r="AU391" s="24"/>
      <c r="AV391" s="24"/>
      <c r="AW391" s="24"/>
      <c r="AX391" s="24"/>
      <c r="AY391" s="24"/>
      <c r="AZ391" s="24"/>
      <c r="BA391" s="24"/>
      <c r="BB391" s="24"/>
      <c r="BC391" s="24"/>
      <c r="BD391" s="24"/>
      <c r="BE391" s="24"/>
    </row>
    <row r="392" spans="36:57" ht="12.75">
      <c r="AJ392" s="24"/>
      <c r="AK392" s="24"/>
      <c r="AL392" s="24"/>
      <c r="AM392" s="24"/>
      <c r="AN392" s="24"/>
      <c r="AO392" s="24"/>
      <c r="AP392" s="24"/>
      <c r="AQ392" s="24"/>
      <c r="AR392" s="24"/>
      <c r="AS392" s="24"/>
      <c r="AT392" s="24"/>
      <c r="AU392" s="24"/>
      <c r="AV392" s="24"/>
      <c r="AW392" s="24"/>
      <c r="AX392" s="24"/>
      <c r="AY392" s="24"/>
      <c r="AZ392" s="24"/>
      <c r="BA392" s="24"/>
      <c r="BB392" s="24"/>
      <c r="BC392" s="24"/>
      <c r="BD392" s="24"/>
      <c r="BE392" s="24"/>
    </row>
    <row r="393" spans="36:57" ht="12.75">
      <c r="AJ393" s="24"/>
      <c r="AK393" s="24"/>
      <c r="AL393" s="24"/>
      <c r="AM393" s="24"/>
      <c r="AN393" s="24"/>
      <c r="AO393" s="24"/>
      <c r="AP393" s="24"/>
      <c r="AQ393" s="24"/>
      <c r="AR393" s="24"/>
      <c r="AS393" s="24"/>
      <c r="AT393" s="24"/>
      <c r="AU393" s="24"/>
      <c r="AV393" s="24"/>
      <c r="AW393" s="24"/>
      <c r="AX393" s="24"/>
      <c r="AY393" s="24"/>
      <c r="AZ393" s="24"/>
      <c r="BA393" s="24"/>
      <c r="BB393" s="24"/>
      <c r="BC393" s="24"/>
      <c r="BD393" s="24"/>
      <c r="BE393" s="24"/>
    </row>
    <row r="394" spans="36:57" ht="12.75">
      <c r="AJ394" s="24"/>
      <c r="AK394" s="24"/>
      <c r="AL394" s="24"/>
      <c r="AM394" s="24"/>
      <c r="AN394" s="24"/>
      <c r="AO394" s="24"/>
      <c r="AP394" s="24"/>
      <c r="AQ394" s="24"/>
      <c r="AR394" s="24"/>
      <c r="AS394" s="24"/>
      <c r="AT394" s="24"/>
      <c r="AU394" s="24"/>
      <c r="AV394" s="24"/>
      <c r="AW394" s="24"/>
      <c r="AX394" s="24"/>
      <c r="AY394" s="24"/>
      <c r="AZ394" s="24"/>
      <c r="BA394" s="24"/>
      <c r="BB394" s="24"/>
      <c r="BC394" s="24"/>
      <c r="BD394" s="24"/>
      <c r="BE394" s="24"/>
    </row>
    <row r="395" spans="36:57" ht="12.75">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row>
    <row r="396" spans="36:57" ht="12.75">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row>
    <row r="397" spans="36:57" ht="12.75">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row>
    <row r="398" spans="36:57" ht="12.75">
      <c r="AJ398" s="24"/>
      <c r="AK398" s="24"/>
      <c r="AL398" s="24"/>
      <c r="AM398" s="24"/>
      <c r="AN398" s="24"/>
      <c r="AO398" s="24"/>
      <c r="AP398" s="24"/>
      <c r="AQ398" s="24"/>
      <c r="AR398" s="24"/>
      <c r="AS398" s="24"/>
      <c r="AT398" s="24"/>
      <c r="AU398" s="24"/>
      <c r="AV398" s="24"/>
      <c r="AW398" s="24"/>
      <c r="AX398" s="24"/>
      <c r="AY398" s="24"/>
      <c r="AZ398" s="24"/>
      <c r="BA398" s="24"/>
      <c r="BB398" s="24"/>
      <c r="BC398" s="24"/>
      <c r="BD398" s="24"/>
      <c r="BE398" s="24"/>
    </row>
    <row r="399" spans="36:57" ht="12.75">
      <c r="AJ399" s="24"/>
      <c r="AK399" s="24"/>
      <c r="AL399" s="24"/>
      <c r="AM399" s="24"/>
      <c r="AN399" s="24"/>
      <c r="AO399" s="24"/>
      <c r="AP399" s="24"/>
      <c r="AQ399" s="24"/>
      <c r="AR399" s="24"/>
      <c r="AS399" s="24"/>
      <c r="AT399" s="24"/>
      <c r="AU399" s="24"/>
      <c r="AV399" s="24"/>
      <c r="AW399" s="24"/>
      <c r="AX399" s="24"/>
      <c r="AY399" s="24"/>
      <c r="AZ399" s="24"/>
      <c r="BA399" s="24"/>
      <c r="BB399" s="24"/>
      <c r="BC399" s="24"/>
      <c r="BD399" s="24"/>
      <c r="BE399" s="24"/>
    </row>
    <row r="400" spans="36:57" ht="12.75">
      <c r="AJ400" s="24"/>
      <c r="AK400" s="24"/>
      <c r="AL400" s="24"/>
      <c r="AM400" s="24"/>
      <c r="AN400" s="24"/>
      <c r="AO400" s="24"/>
      <c r="AP400" s="24"/>
      <c r="AQ400" s="24"/>
      <c r="AR400" s="24"/>
      <c r="AS400" s="24"/>
      <c r="AT400" s="24"/>
      <c r="AU400" s="24"/>
      <c r="AV400" s="24"/>
      <c r="AW400" s="24"/>
      <c r="AX400" s="24"/>
      <c r="AY400" s="24"/>
      <c r="AZ400" s="24"/>
      <c r="BA400" s="24"/>
      <c r="BB400" s="24"/>
      <c r="BC400" s="24"/>
      <c r="BD400" s="24"/>
      <c r="BE400" s="24"/>
    </row>
    <row r="401" spans="36:57" ht="12.75">
      <c r="AJ401" s="24"/>
      <c r="AK401" s="24"/>
      <c r="AL401" s="24"/>
      <c r="AM401" s="24"/>
      <c r="AN401" s="24"/>
      <c r="AO401" s="24"/>
      <c r="AP401" s="24"/>
      <c r="AQ401" s="24"/>
      <c r="AR401" s="24"/>
      <c r="AS401" s="24"/>
      <c r="AT401" s="24"/>
      <c r="AU401" s="24"/>
      <c r="AV401" s="24"/>
      <c r="AW401" s="24"/>
      <c r="AX401" s="24"/>
      <c r="AY401" s="24"/>
      <c r="AZ401" s="24"/>
      <c r="BA401" s="24"/>
      <c r="BB401" s="24"/>
      <c r="BC401" s="24"/>
      <c r="BD401" s="24"/>
      <c r="BE401" s="24"/>
    </row>
    <row r="402" spans="36:57" ht="12.75">
      <c r="AJ402" s="24"/>
      <c r="AK402" s="24"/>
      <c r="AL402" s="24"/>
      <c r="AM402" s="24"/>
      <c r="AN402" s="24"/>
      <c r="AO402" s="24"/>
      <c r="AP402" s="24"/>
      <c r="AQ402" s="24"/>
      <c r="AR402" s="24"/>
      <c r="AS402" s="24"/>
      <c r="AT402" s="24"/>
      <c r="AU402" s="24"/>
      <c r="AV402" s="24"/>
      <c r="AW402" s="24"/>
      <c r="AX402" s="24"/>
      <c r="AY402" s="24"/>
      <c r="AZ402" s="24"/>
      <c r="BA402" s="24"/>
      <c r="BB402" s="24"/>
      <c r="BC402" s="24"/>
      <c r="BD402" s="24"/>
      <c r="BE402" s="24"/>
    </row>
    <row r="403" spans="36:57" ht="12.75">
      <c r="AJ403" s="24"/>
      <c r="AK403" s="24"/>
      <c r="AL403" s="24"/>
      <c r="AM403" s="24"/>
      <c r="AN403" s="24"/>
      <c r="AO403" s="24"/>
      <c r="AP403" s="24"/>
      <c r="AQ403" s="24"/>
      <c r="AR403" s="24"/>
      <c r="AS403" s="24"/>
      <c r="AT403" s="24"/>
      <c r="AU403" s="24"/>
      <c r="AV403" s="24"/>
      <c r="AW403" s="24"/>
      <c r="AX403" s="24"/>
      <c r="AY403" s="24"/>
      <c r="AZ403" s="24"/>
      <c r="BA403" s="24"/>
      <c r="BB403" s="24"/>
      <c r="BC403" s="24"/>
      <c r="BD403" s="24"/>
      <c r="BE403" s="24"/>
    </row>
    <row r="404" spans="36:57" ht="12.75">
      <c r="AJ404" s="24"/>
      <c r="AK404" s="24"/>
      <c r="AL404" s="24"/>
      <c r="AM404" s="24"/>
      <c r="AN404" s="24"/>
      <c r="AO404" s="24"/>
      <c r="AP404" s="24"/>
      <c r="AQ404" s="24"/>
      <c r="AR404" s="24"/>
      <c r="AS404" s="24"/>
      <c r="AT404" s="24"/>
      <c r="AU404" s="24"/>
      <c r="AV404" s="24"/>
      <c r="AW404" s="24"/>
      <c r="AX404" s="24"/>
      <c r="AY404" s="24"/>
      <c r="AZ404" s="24"/>
      <c r="BA404" s="24"/>
      <c r="BB404" s="24"/>
      <c r="BC404" s="24"/>
      <c r="BD404" s="24"/>
      <c r="BE404" s="24"/>
    </row>
    <row r="405" spans="36:57" ht="12.75">
      <c r="AJ405" s="24"/>
      <c r="AK405" s="24"/>
      <c r="AL405" s="24"/>
      <c r="AM405" s="24"/>
      <c r="AN405" s="24"/>
      <c r="AO405" s="24"/>
      <c r="AP405" s="24"/>
      <c r="AQ405" s="24"/>
      <c r="AR405" s="24"/>
      <c r="AS405" s="24"/>
      <c r="AT405" s="24"/>
      <c r="AU405" s="24"/>
      <c r="AV405" s="24"/>
      <c r="AW405" s="24"/>
      <c r="AX405" s="24"/>
      <c r="AY405" s="24"/>
      <c r="AZ405" s="24"/>
      <c r="BA405" s="24"/>
      <c r="BB405" s="24"/>
      <c r="BC405" s="24"/>
      <c r="BD405" s="24"/>
      <c r="BE405" s="24"/>
    </row>
    <row r="406" spans="36:57" ht="12.75">
      <c r="AJ406" s="24"/>
      <c r="AK406" s="24"/>
      <c r="AL406" s="24"/>
      <c r="AM406" s="24"/>
      <c r="AN406" s="24"/>
      <c r="AO406" s="24"/>
      <c r="AP406" s="24"/>
      <c r="AQ406" s="24"/>
      <c r="AR406" s="24"/>
      <c r="AS406" s="24"/>
      <c r="AT406" s="24"/>
      <c r="AU406" s="24"/>
      <c r="AV406" s="24"/>
      <c r="AW406" s="24"/>
      <c r="AX406" s="24"/>
      <c r="AY406" s="24"/>
      <c r="AZ406" s="24"/>
      <c r="BA406" s="24"/>
      <c r="BB406" s="24"/>
      <c r="BC406" s="24"/>
      <c r="BD406" s="24"/>
      <c r="BE406" s="24"/>
    </row>
    <row r="407" spans="36:57" ht="12.75">
      <c r="AJ407" s="24"/>
      <c r="AK407" s="24"/>
      <c r="AL407" s="24"/>
      <c r="AM407" s="24"/>
      <c r="AN407" s="24"/>
      <c r="AO407" s="24"/>
      <c r="AP407" s="24"/>
      <c r="AQ407" s="24"/>
      <c r="AR407" s="24"/>
      <c r="AS407" s="24"/>
      <c r="AT407" s="24"/>
      <c r="AU407" s="24"/>
      <c r="AV407" s="24"/>
      <c r="AW407" s="24"/>
      <c r="AX407" s="24"/>
      <c r="AY407" s="24"/>
      <c r="AZ407" s="24"/>
      <c r="BA407" s="24"/>
      <c r="BB407" s="24"/>
      <c r="BC407" s="24"/>
      <c r="BD407" s="24"/>
      <c r="BE407" s="24"/>
    </row>
    <row r="408" spans="36:57" ht="12.75">
      <c r="AJ408" s="24"/>
      <c r="AK408" s="24"/>
      <c r="AL408" s="24"/>
      <c r="AM408" s="24"/>
      <c r="AN408" s="24"/>
      <c r="AO408" s="24"/>
      <c r="AP408" s="24"/>
      <c r="AQ408" s="24"/>
      <c r="AR408" s="24"/>
      <c r="AS408" s="24"/>
      <c r="AT408" s="24"/>
      <c r="AU408" s="24"/>
      <c r="AV408" s="24"/>
      <c r="AW408" s="24"/>
      <c r="AX408" s="24"/>
      <c r="AY408" s="24"/>
      <c r="AZ408" s="24"/>
      <c r="BA408" s="24"/>
      <c r="BB408" s="24"/>
      <c r="BC408" s="24"/>
      <c r="BD408" s="24"/>
      <c r="BE408" s="24"/>
    </row>
    <row r="409" spans="36:57" ht="12.75">
      <c r="AJ409" s="24"/>
      <c r="AK409" s="24"/>
      <c r="AL409" s="24"/>
      <c r="AM409" s="24"/>
      <c r="AN409" s="24"/>
      <c r="AO409" s="24"/>
      <c r="AP409" s="24"/>
      <c r="AQ409" s="24"/>
      <c r="AR409" s="24"/>
      <c r="AS409" s="24"/>
      <c r="AT409" s="24"/>
      <c r="AU409" s="24"/>
      <c r="AV409" s="24"/>
      <c r="AW409" s="24"/>
      <c r="AX409" s="24"/>
      <c r="AY409" s="24"/>
      <c r="AZ409" s="24"/>
      <c r="BA409" s="24"/>
      <c r="BB409" s="24"/>
      <c r="BC409" s="24"/>
      <c r="BD409" s="24"/>
      <c r="BE409" s="24"/>
    </row>
    <row r="410" spans="36:57" ht="12.75">
      <c r="AJ410" s="24"/>
      <c r="AK410" s="24"/>
      <c r="AL410" s="24"/>
      <c r="AM410" s="24"/>
      <c r="AN410" s="24"/>
      <c r="AO410" s="24"/>
      <c r="AP410" s="24"/>
      <c r="AQ410" s="24"/>
      <c r="AR410" s="24"/>
      <c r="AS410" s="24"/>
      <c r="AT410" s="24"/>
      <c r="AU410" s="24"/>
      <c r="AV410" s="24"/>
      <c r="AW410" s="24"/>
      <c r="AX410" s="24"/>
      <c r="AY410" s="24"/>
      <c r="AZ410" s="24"/>
      <c r="BA410" s="24"/>
      <c r="BB410" s="24"/>
      <c r="BC410" s="24"/>
      <c r="BD410" s="24"/>
      <c r="BE410" s="24"/>
    </row>
    <row r="411" spans="36:57" ht="12.75">
      <c r="AJ411" s="24"/>
      <c r="AK411" s="24"/>
      <c r="AL411" s="24"/>
      <c r="AM411" s="24"/>
      <c r="AN411" s="24"/>
      <c r="AO411" s="24"/>
      <c r="AP411" s="24"/>
      <c r="AQ411" s="24"/>
      <c r="AR411" s="24"/>
      <c r="AS411" s="24"/>
      <c r="AT411" s="24"/>
      <c r="AU411" s="24"/>
      <c r="AV411" s="24"/>
      <c r="AW411" s="24"/>
      <c r="AX411" s="24"/>
      <c r="AY411" s="24"/>
      <c r="AZ411" s="24"/>
      <c r="BA411" s="24"/>
      <c r="BB411" s="24"/>
      <c r="BC411" s="24"/>
      <c r="BD411" s="24"/>
      <c r="BE411" s="24"/>
    </row>
    <row r="412" spans="36:57" ht="12.75">
      <c r="AJ412" s="24"/>
      <c r="AK412" s="24"/>
      <c r="AL412" s="24"/>
      <c r="AM412" s="24"/>
      <c r="AN412" s="24"/>
      <c r="AO412" s="24"/>
      <c r="AP412" s="24"/>
      <c r="AQ412" s="24"/>
      <c r="AR412" s="24"/>
      <c r="AS412" s="24"/>
      <c r="AT412" s="24"/>
      <c r="AU412" s="24"/>
      <c r="AV412" s="24"/>
      <c r="AW412" s="24"/>
      <c r="AX412" s="24"/>
      <c r="AY412" s="24"/>
      <c r="AZ412" s="24"/>
      <c r="BA412" s="24"/>
      <c r="BB412" s="24"/>
      <c r="BC412" s="24"/>
      <c r="BD412" s="24"/>
      <c r="BE412" s="24"/>
    </row>
    <row r="413" spans="36:57" ht="12.75">
      <c r="AJ413" s="24"/>
      <c r="AK413" s="24"/>
      <c r="AL413" s="24"/>
      <c r="AM413" s="24"/>
      <c r="AN413" s="24"/>
      <c r="AO413" s="24"/>
      <c r="AP413" s="24"/>
      <c r="AQ413" s="24"/>
      <c r="AR413" s="24"/>
      <c r="AS413" s="24"/>
      <c r="AT413" s="24"/>
      <c r="AU413" s="24"/>
      <c r="AV413" s="24"/>
      <c r="AW413" s="24"/>
      <c r="AX413" s="24"/>
      <c r="AY413" s="24"/>
      <c r="AZ413" s="24"/>
      <c r="BA413" s="24"/>
      <c r="BB413" s="24"/>
      <c r="BC413" s="24"/>
      <c r="BD413" s="24"/>
      <c r="BE413" s="24"/>
    </row>
    <row r="414" spans="36:57" ht="12.75">
      <c r="AJ414" s="24"/>
      <c r="AK414" s="24"/>
      <c r="AL414" s="24"/>
      <c r="AM414" s="24"/>
      <c r="AN414" s="24"/>
      <c r="AO414" s="24"/>
      <c r="AP414" s="24"/>
      <c r="AQ414" s="24"/>
      <c r="AR414" s="24"/>
      <c r="AS414" s="24"/>
      <c r="AT414" s="24"/>
      <c r="AU414" s="24"/>
      <c r="AV414" s="24"/>
      <c r="AW414" s="24"/>
      <c r="AX414" s="24"/>
      <c r="AY414" s="24"/>
      <c r="AZ414" s="24"/>
      <c r="BA414" s="24"/>
      <c r="BB414" s="24"/>
      <c r="BC414" s="24"/>
      <c r="BD414" s="24"/>
      <c r="BE414" s="24"/>
    </row>
    <row r="415" spans="36:57" ht="12.75">
      <c r="AJ415" s="24"/>
      <c r="AK415" s="24"/>
      <c r="AL415" s="24"/>
      <c r="AM415" s="24"/>
      <c r="AN415" s="24"/>
      <c r="AO415" s="24"/>
      <c r="AP415" s="24"/>
      <c r="AQ415" s="24"/>
      <c r="AR415" s="24"/>
      <c r="AS415" s="24"/>
      <c r="AT415" s="24"/>
      <c r="AU415" s="24"/>
      <c r="AV415" s="24"/>
      <c r="AW415" s="24"/>
      <c r="AX415" s="24"/>
      <c r="AY415" s="24"/>
      <c r="AZ415" s="24"/>
      <c r="BA415" s="24"/>
      <c r="BB415" s="24"/>
      <c r="BC415" s="24"/>
      <c r="BD415" s="24"/>
      <c r="BE415" s="24"/>
    </row>
    <row r="416" spans="36:57" ht="12.75">
      <c r="AJ416" s="24"/>
      <c r="AK416" s="24"/>
      <c r="AL416" s="24"/>
      <c r="AM416" s="24"/>
      <c r="AN416" s="24"/>
      <c r="AO416" s="24"/>
      <c r="AP416" s="24"/>
      <c r="AQ416" s="24"/>
      <c r="AR416" s="24"/>
      <c r="AS416" s="24"/>
      <c r="AT416" s="24"/>
      <c r="AU416" s="24"/>
      <c r="AV416" s="24"/>
      <c r="AW416" s="24"/>
      <c r="AX416" s="24"/>
      <c r="AY416" s="24"/>
      <c r="AZ416" s="24"/>
      <c r="BA416" s="24"/>
      <c r="BB416" s="24"/>
      <c r="BC416" s="24"/>
      <c r="BD416" s="24"/>
      <c r="BE416" s="24"/>
    </row>
    <row r="417" spans="36:57" ht="12.75">
      <c r="AJ417" s="24"/>
      <c r="AK417" s="24"/>
      <c r="AL417" s="24"/>
      <c r="AM417" s="24"/>
      <c r="AN417" s="24"/>
      <c r="AO417" s="24"/>
      <c r="AP417" s="24"/>
      <c r="AQ417" s="24"/>
      <c r="AR417" s="24"/>
      <c r="AS417" s="24"/>
      <c r="AT417" s="24"/>
      <c r="AU417" s="24"/>
      <c r="AV417" s="24"/>
      <c r="AW417" s="24"/>
      <c r="AX417" s="24"/>
      <c r="AY417" s="24"/>
      <c r="AZ417" s="24"/>
      <c r="BA417" s="24"/>
      <c r="BB417" s="24"/>
      <c r="BC417" s="24"/>
      <c r="BD417" s="24"/>
      <c r="BE417" s="24"/>
    </row>
    <row r="418" spans="36:57" ht="12.75">
      <c r="AJ418" s="24"/>
      <c r="AK418" s="24"/>
      <c r="AL418" s="24"/>
      <c r="AM418" s="24"/>
      <c r="AN418" s="24"/>
      <c r="AO418" s="24"/>
      <c r="AP418" s="24"/>
      <c r="AQ418" s="24"/>
      <c r="AR418" s="24"/>
      <c r="AS418" s="24"/>
      <c r="AT418" s="24"/>
      <c r="AU418" s="24"/>
      <c r="AV418" s="24"/>
      <c r="AW418" s="24"/>
      <c r="AX418" s="24"/>
      <c r="AY418" s="24"/>
      <c r="AZ418" s="24"/>
      <c r="BA418" s="24"/>
      <c r="BB418" s="24"/>
      <c r="BC418" s="24"/>
      <c r="BD418" s="24"/>
      <c r="BE418" s="24"/>
    </row>
    <row r="419" spans="36:57" ht="12.75">
      <c r="AJ419" s="24"/>
      <c r="AK419" s="24"/>
      <c r="AL419" s="24"/>
      <c r="AM419" s="24"/>
      <c r="AN419" s="24"/>
      <c r="AO419" s="24"/>
      <c r="AP419" s="24"/>
      <c r="AQ419" s="24"/>
      <c r="AR419" s="24"/>
      <c r="AS419" s="24"/>
      <c r="AT419" s="24"/>
      <c r="AU419" s="24"/>
      <c r="AV419" s="24"/>
      <c r="AW419" s="24"/>
      <c r="AX419" s="24"/>
      <c r="AY419" s="24"/>
      <c r="AZ419" s="24"/>
      <c r="BA419" s="24"/>
      <c r="BB419" s="24"/>
      <c r="BC419" s="24"/>
      <c r="BD419" s="24"/>
      <c r="BE419" s="24"/>
    </row>
    <row r="420" spans="36:57" ht="12.75">
      <c r="AJ420" s="24"/>
      <c r="AK420" s="24"/>
      <c r="AL420" s="24"/>
      <c r="AM420" s="24"/>
      <c r="AN420" s="24"/>
      <c r="AO420" s="24"/>
      <c r="AP420" s="24"/>
      <c r="AQ420" s="24"/>
      <c r="AR420" s="24"/>
      <c r="AS420" s="24"/>
      <c r="AT420" s="24"/>
      <c r="AU420" s="24"/>
      <c r="AV420" s="24"/>
      <c r="AW420" s="24"/>
      <c r="AX420" s="24"/>
      <c r="AY420" s="24"/>
      <c r="AZ420" s="24"/>
      <c r="BA420" s="24"/>
      <c r="BB420" s="24"/>
      <c r="BC420" s="24"/>
      <c r="BD420" s="24"/>
      <c r="BE420" s="24"/>
    </row>
    <row r="421" spans="36:57" ht="12.75">
      <c r="AJ421" s="24"/>
      <c r="AK421" s="24"/>
      <c r="AL421" s="24"/>
      <c r="AM421" s="24"/>
      <c r="AN421" s="24"/>
      <c r="AO421" s="24"/>
      <c r="AP421" s="24"/>
      <c r="AQ421" s="24"/>
      <c r="AR421" s="24"/>
      <c r="AS421" s="24"/>
      <c r="AT421" s="24"/>
      <c r="AU421" s="24"/>
      <c r="AV421" s="24"/>
      <c r="AW421" s="24"/>
      <c r="AX421" s="24"/>
      <c r="AY421" s="24"/>
      <c r="AZ421" s="24"/>
      <c r="BA421" s="24"/>
      <c r="BB421" s="24"/>
      <c r="BC421" s="24"/>
      <c r="BD421" s="24"/>
      <c r="BE421" s="24"/>
    </row>
    <row r="422" spans="36:57" ht="12.75">
      <c r="AJ422" s="24"/>
      <c r="AK422" s="24"/>
      <c r="AL422" s="24"/>
      <c r="AM422" s="24"/>
      <c r="AN422" s="24"/>
      <c r="AO422" s="24"/>
      <c r="AP422" s="24"/>
      <c r="AQ422" s="24"/>
      <c r="AR422" s="24"/>
      <c r="AS422" s="24"/>
      <c r="AT422" s="24"/>
      <c r="AU422" s="24"/>
      <c r="AV422" s="24"/>
      <c r="AW422" s="24"/>
      <c r="AX422" s="24"/>
      <c r="AY422" s="24"/>
      <c r="AZ422" s="24"/>
      <c r="BA422" s="24"/>
      <c r="BB422" s="24"/>
      <c r="BC422" s="24"/>
      <c r="BD422" s="24"/>
      <c r="BE422" s="24"/>
    </row>
    <row r="423" spans="36:57" ht="12.75">
      <c r="AJ423" s="24"/>
      <c r="AK423" s="24"/>
      <c r="AL423" s="24"/>
      <c r="AM423" s="24"/>
      <c r="AN423" s="24"/>
      <c r="AO423" s="24"/>
      <c r="AP423" s="24"/>
      <c r="AQ423" s="24"/>
      <c r="AR423" s="24"/>
      <c r="AS423" s="24"/>
      <c r="AT423" s="24"/>
      <c r="AU423" s="24"/>
      <c r="AV423" s="24"/>
      <c r="AW423" s="24"/>
      <c r="AX423" s="24"/>
      <c r="AY423" s="24"/>
      <c r="AZ423" s="24"/>
      <c r="BA423" s="24"/>
      <c r="BB423" s="24"/>
      <c r="BC423" s="24"/>
      <c r="BD423" s="24"/>
      <c r="BE423" s="24"/>
    </row>
    <row r="424" spans="36:57" ht="12.75">
      <c r="AJ424" s="24"/>
      <c r="AK424" s="24"/>
      <c r="AL424" s="24"/>
      <c r="AM424" s="24"/>
      <c r="AN424" s="24"/>
      <c r="AO424" s="24"/>
      <c r="AP424" s="24"/>
      <c r="AQ424" s="24"/>
      <c r="AR424" s="24"/>
      <c r="AS424" s="24"/>
      <c r="AT424" s="24"/>
      <c r="AU424" s="24"/>
      <c r="AV424" s="24"/>
      <c r="AW424" s="24"/>
      <c r="AX424" s="24"/>
      <c r="AY424" s="24"/>
      <c r="AZ424" s="24"/>
      <c r="BA424" s="24"/>
      <c r="BB424" s="24"/>
      <c r="BC424" s="24"/>
      <c r="BD424" s="24"/>
      <c r="BE424" s="24"/>
    </row>
    <row r="425" spans="36:57" ht="12.75">
      <c r="AJ425" s="24"/>
      <c r="AK425" s="24"/>
      <c r="AL425" s="24"/>
      <c r="AM425" s="24"/>
      <c r="AN425" s="24"/>
      <c r="AO425" s="24"/>
      <c r="AP425" s="24"/>
      <c r="AQ425" s="24"/>
      <c r="AR425" s="24"/>
      <c r="AS425" s="24"/>
      <c r="AT425" s="24"/>
      <c r="AU425" s="24"/>
      <c r="AV425" s="24"/>
      <c r="AW425" s="24"/>
      <c r="AX425" s="24"/>
      <c r="AY425" s="24"/>
      <c r="AZ425" s="24"/>
      <c r="BA425" s="24"/>
      <c r="BB425" s="24"/>
      <c r="BC425" s="24"/>
      <c r="BD425" s="24"/>
      <c r="BE425" s="24"/>
    </row>
    <row r="426" spans="36:57" ht="12.75">
      <c r="AJ426" s="24"/>
      <c r="AK426" s="24"/>
      <c r="AL426" s="24"/>
      <c r="AM426" s="24"/>
      <c r="AN426" s="24"/>
      <c r="AO426" s="24"/>
      <c r="AP426" s="24"/>
      <c r="AQ426" s="24"/>
      <c r="AR426" s="24"/>
      <c r="AS426" s="24"/>
      <c r="AT426" s="24"/>
      <c r="AU426" s="24"/>
      <c r="AV426" s="24"/>
      <c r="AW426" s="24"/>
      <c r="AX426" s="24"/>
      <c r="AY426" s="24"/>
      <c r="AZ426" s="24"/>
      <c r="BA426" s="24"/>
      <c r="BB426" s="24"/>
      <c r="BC426" s="24"/>
      <c r="BD426" s="24"/>
      <c r="BE426" s="24"/>
    </row>
    <row r="427" spans="36:57" ht="12.75">
      <c r="AJ427" s="24"/>
      <c r="AK427" s="24"/>
      <c r="AL427" s="24"/>
      <c r="AM427" s="24"/>
      <c r="AN427" s="24"/>
      <c r="AO427" s="24"/>
      <c r="AP427" s="24"/>
      <c r="AQ427" s="24"/>
      <c r="AR427" s="24"/>
      <c r="AS427" s="24"/>
      <c r="AT427" s="24"/>
      <c r="AU427" s="24"/>
      <c r="AV427" s="24"/>
      <c r="AW427" s="24"/>
      <c r="AX427" s="24"/>
      <c r="AY427" s="24"/>
      <c r="AZ427" s="24"/>
      <c r="BA427" s="24"/>
      <c r="BB427" s="24"/>
      <c r="BC427" s="24"/>
      <c r="BD427" s="24"/>
      <c r="BE427" s="24"/>
    </row>
    <row r="428" spans="36:57" ht="12.75">
      <c r="AJ428" s="24"/>
      <c r="AK428" s="24"/>
      <c r="AL428" s="24"/>
      <c r="AM428" s="24"/>
      <c r="AN428" s="24"/>
      <c r="AO428" s="24"/>
      <c r="AP428" s="24"/>
      <c r="AQ428" s="24"/>
      <c r="AR428" s="24"/>
      <c r="AS428" s="24"/>
      <c r="AT428" s="24"/>
      <c r="AU428" s="24"/>
      <c r="AV428" s="24"/>
      <c r="AW428" s="24"/>
      <c r="AX428" s="24"/>
      <c r="AY428" s="24"/>
      <c r="AZ428" s="24"/>
      <c r="BA428" s="24"/>
      <c r="BB428" s="24"/>
      <c r="BC428" s="24"/>
      <c r="BD428" s="24"/>
      <c r="BE428" s="24"/>
    </row>
    <row r="429" spans="36:57" ht="12.75">
      <c r="AJ429" s="24"/>
      <c r="AK429" s="24"/>
      <c r="AL429" s="24"/>
      <c r="AM429" s="24"/>
      <c r="AN429" s="24"/>
      <c r="AO429" s="24"/>
      <c r="AP429" s="24"/>
      <c r="AQ429" s="24"/>
      <c r="AR429" s="24"/>
      <c r="AS429" s="24"/>
      <c r="AT429" s="24"/>
      <c r="AU429" s="24"/>
      <c r="AV429" s="24"/>
      <c r="AW429" s="24"/>
      <c r="AX429" s="24"/>
      <c r="AY429" s="24"/>
      <c r="AZ429" s="24"/>
      <c r="BA429" s="24"/>
      <c r="BB429" s="24"/>
      <c r="BC429" s="24"/>
      <c r="BD429" s="24"/>
      <c r="BE429" s="24"/>
    </row>
    <row r="430" spans="36:57" ht="12.75">
      <c r="AJ430" s="24"/>
      <c r="AK430" s="24"/>
      <c r="AL430" s="24"/>
      <c r="AM430" s="24"/>
      <c r="AN430" s="24"/>
      <c r="AO430" s="24"/>
      <c r="AP430" s="24"/>
      <c r="AQ430" s="24"/>
      <c r="AR430" s="24"/>
      <c r="AS430" s="24"/>
      <c r="AT430" s="24"/>
      <c r="AU430" s="24"/>
      <c r="AV430" s="24"/>
      <c r="AW430" s="24"/>
      <c r="AX430" s="24"/>
      <c r="AY430" s="24"/>
      <c r="AZ430" s="24"/>
      <c r="BA430" s="24"/>
      <c r="BB430" s="24"/>
      <c r="BC430" s="24"/>
      <c r="BD430" s="24"/>
      <c r="BE430" s="24"/>
    </row>
    <row r="431" spans="36:57" ht="12.75">
      <c r="AJ431" s="24"/>
      <c r="AK431" s="24"/>
      <c r="AL431" s="24"/>
      <c r="AM431" s="24"/>
      <c r="AN431" s="24"/>
      <c r="AO431" s="24"/>
      <c r="AP431" s="24"/>
      <c r="AQ431" s="24"/>
      <c r="AR431" s="24"/>
      <c r="AS431" s="24"/>
      <c r="AT431" s="24"/>
      <c r="AU431" s="24"/>
      <c r="AV431" s="24"/>
      <c r="AW431" s="24"/>
      <c r="AX431" s="24"/>
      <c r="AY431" s="24"/>
      <c r="AZ431" s="24"/>
      <c r="BA431" s="24"/>
      <c r="BB431" s="24"/>
      <c r="BC431" s="24"/>
      <c r="BD431" s="24"/>
      <c r="BE431" s="24"/>
    </row>
    <row r="432" spans="36:57" ht="12.75">
      <c r="AJ432" s="24"/>
      <c r="AK432" s="24"/>
      <c r="AL432" s="24"/>
      <c r="AM432" s="24"/>
      <c r="AN432" s="24"/>
      <c r="AO432" s="24"/>
      <c r="AP432" s="24"/>
      <c r="AQ432" s="24"/>
      <c r="AR432" s="24"/>
      <c r="AS432" s="24"/>
      <c r="AT432" s="24"/>
      <c r="AU432" s="24"/>
      <c r="AV432" s="24"/>
      <c r="AW432" s="24"/>
      <c r="AX432" s="24"/>
      <c r="AY432" s="24"/>
      <c r="AZ432" s="24"/>
      <c r="BA432" s="24"/>
      <c r="BB432" s="24"/>
      <c r="BC432" s="24"/>
      <c r="BD432" s="24"/>
      <c r="BE432" s="24"/>
    </row>
    <row r="433" spans="36:57" ht="12.75">
      <c r="AJ433" s="24"/>
      <c r="AK433" s="24"/>
      <c r="AL433" s="24"/>
      <c r="AM433" s="24"/>
      <c r="AN433" s="24"/>
      <c r="AO433" s="24"/>
      <c r="AP433" s="24"/>
      <c r="AQ433" s="24"/>
      <c r="AR433" s="24"/>
      <c r="AS433" s="24"/>
      <c r="AT433" s="24"/>
      <c r="AU433" s="24"/>
      <c r="AV433" s="24"/>
      <c r="AW433" s="24"/>
      <c r="AX433" s="24"/>
      <c r="AY433" s="24"/>
      <c r="AZ433" s="24"/>
      <c r="BA433" s="24"/>
      <c r="BB433" s="24"/>
      <c r="BC433" s="24"/>
      <c r="BD433" s="24"/>
      <c r="BE433" s="24"/>
    </row>
    <row r="434" spans="36:57" ht="12.75">
      <c r="AJ434" s="24"/>
      <c r="AK434" s="24"/>
      <c r="AL434" s="24"/>
      <c r="AM434" s="24"/>
      <c r="AN434" s="24"/>
      <c r="AO434" s="24"/>
      <c r="AP434" s="24"/>
      <c r="AQ434" s="24"/>
      <c r="AR434" s="24"/>
      <c r="AS434" s="24"/>
      <c r="AT434" s="24"/>
      <c r="AU434" s="24"/>
      <c r="AV434" s="24"/>
      <c r="AW434" s="24"/>
      <c r="AX434" s="24"/>
      <c r="AY434" s="24"/>
      <c r="AZ434" s="24"/>
      <c r="BA434" s="24"/>
      <c r="BB434" s="24"/>
      <c r="BC434" s="24"/>
      <c r="BD434" s="24"/>
      <c r="BE434" s="24"/>
    </row>
    <row r="435" spans="36:57" ht="12.75">
      <c r="AJ435" s="24"/>
      <c r="AK435" s="24"/>
      <c r="AL435" s="24"/>
      <c r="AM435" s="24"/>
      <c r="AN435" s="24"/>
      <c r="AO435" s="24"/>
      <c r="AP435" s="24"/>
      <c r="AQ435" s="24"/>
      <c r="AR435" s="24"/>
      <c r="AS435" s="24"/>
      <c r="AT435" s="24"/>
      <c r="AU435" s="24"/>
      <c r="AV435" s="24"/>
      <c r="AW435" s="24"/>
      <c r="AX435" s="24"/>
      <c r="AY435" s="24"/>
      <c r="AZ435" s="24"/>
      <c r="BA435" s="24"/>
      <c r="BB435" s="24"/>
      <c r="BC435" s="24"/>
      <c r="BD435" s="24"/>
      <c r="BE435" s="24"/>
    </row>
    <row r="436" spans="36:57" ht="12.75">
      <c r="AJ436" s="24"/>
      <c r="AK436" s="24"/>
      <c r="AL436" s="24"/>
      <c r="AM436" s="24"/>
      <c r="AN436" s="24"/>
      <c r="AO436" s="24"/>
      <c r="AP436" s="24"/>
      <c r="AQ436" s="24"/>
      <c r="AR436" s="24"/>
      <c r="AS436" s="24"/>
      <c r="AT436" s="24"/>
      <c r="AU436" s="24"/>
      <c r="AV436" s="24"/>
      <c r="AW436" s="24"/>
      <c r="AX436" s="24"/>
      <c r="AY436" s="24"/>
      <c r="AZ436" s="24"/>
      <c r="BA436" s="24"/>
      <c r="BB436" s="24"/>
      <c r="BC436" s="24"/>
      <c r="BD436" s="24"/>
      <c r="BE436" s="24"/>
    </row>
    <row r="437" spans="36:57" ht="12.75">
      <c r="AJ437" s="24"/>
      <c r="AK437" s="24"/>
      <c r="AL437" s="24"/>
      <c r="AM437" s="24"/>
      <c r="AN437" s="24"/>
      <c r="AO437" s="24"/>
      <c r="AP437" s="24"/>
      <c r="AQ437" s="24"/>
      <c r="AR437" s="24"/>
      <c r="AS437" s="24"/>
      <c r="AT437" s="24"/>
      <c r="AU437" s="24"/>
      <c r="AV437" s="24"/>
      <c r="AW437" s="24"/>
      <c r="AX437" s="24"/>
      <c r="AY437" s="24"/>
      <c r="AZ437" s="24"/>
      <c r="BA437" s="24"/>
      <c r="BB437" s="24"/>
      <c r="BC437" s="24"/>
      <c r="BD437" s="24"/>
      <c r="BE437" s="24"/>
    </row>
    <row r="438" spans="36:57" ht="12.75">
      <c r="AJ438" s="24"/>
      <c r="AK438" s="24"/>
      <c r="AL438" s="24"/>
      <c r="AM438" s="24"/>
      <c r="AN438" s="24"/>
      <c r="AO438" s="24"/>
      <c r="AP438" s="24"/>
      <c r="AQ438" s="24"/>
      <c r="AR438" s="24"/>
      <c r="AS438" s="24"/>
      <c r="AT438" s="24"/>
      <c r="AU438" s="24"/>
      <c r="AV438" s="24"/>
      <c r="AW438" s="24"/>
      <c r="AX438" s="24"/>
      <c r="AY438" s="24"/>
      <c r="AZ438" s="24"/>
      <c r="BA438" s="24"/>
      <c r="BB438" s="24"/>
      <c r="BC438" s="24"/>
      <c r="BD438" s="24"/>
      <c r="BE438" s="24"/>
    </row>
    <row r="439" spans="36:57" ht="12.75">
      <c r="AJ439" s="24"/>
      <c r="AK439" s="24"/>
      <c r="AL439" s="24"/>
      <c r="AM439" s="24"/>
      <c r="AN439" s="24"/>
      <c r="AO439" s="24"/>
      <c r="AP439" s="24"/>
      <c r="AQ439" s="24"/>
      <c r="AR439" s="24"/>
      <c r="AS439" s="24"/>
      <c r="AT439" s="24"/>
      <c r="AU439" s="24"/>
      <c r="AV439" s="24"/>
      <c r="AW439" s="24"/>
      <c r="AX439" s="24"/>
      <c r="AY439" s="24"/>
      <c r="AZ439" s="24"/>
      <c r="BA439" s="24"/>
      <c r="BB439" s="24"/>
      <c r="BC439" s="24"/>
      <c r="BD439" s="24"/>
      <c r="BE439" s="24"/>
    </row>
    <row r="440" spans="36:57" ht="12.75">
      <c r="AJ440" s="24"/>
      <c r="AK440" s="24"/>
      <c r="AL440" s="24"/>
      <c r="AM440" s="24"/>
      <c r="AN440" s="24"/>
      <c r="AO440" s="24"/>
      <c r="AP440" s="24"/>
      <c r="AQ440" s="24"/>
      <c r="AR440" s="24"/>
      <c r="AS440" s="24"/>
      <c r="AT440" s="24"/>
      <c r="AU440" s="24"/>
      <c r="AV440" s="24"/>
      <c r="AW440" s="24"/>
      <c r="AX440" s="24"/>
      <c r="AY440" s="24"/>
      <c r="AZ440" s="24"/>
      <c r="BA440" s="24"/>
      <c r="BB440" s="24"/>
      <c r="BC440" s="24"/>
      <c r="BD440" s="24"/>
      <c r="BE440" s="24"/>
    </row>
    <row r="441" spans="36:57" ht="12.75">
      <c r="AJ441" s="24"/>
      <c r="AK441" s="24"/>
      <c r="AL441" s="24"/>
      <c r="AM441" s="24"/>
      <c r="AN441" s="24"/>
      <c r="AO441" s="24"/>
      <c r="AP441" s="24"/>
      <c r="AQ441" s="24"/>
      <c r="AR441" s="24"/>
      <c r="AS441" s="24"/>
      <c r="AT441" s="24"/>
      <c r="AU441" s="24"/>
      <c r="AV441" s="24"/>
      <c r="AW441" s="24"/>
      <c r="AX441" s="24"/>
      <c r="AY441" s="24"/>
      <c r="AZ441" s="24"/>
      <c r="BA441" s="24"/>
      <c r="BB441" s="24"/>
      <c r="BC441" s="24"/>
      <c r="BD441" s="24"/>
      <c r="BE441" s="24"/>
    </row>
    <row r="442" spans="36:57" ht="12.75">
      <c r="AJ442" s="24"/>
      <c r="AK442" s="24"/>
      <c r="AL442" s="24"/>
      <c r="AM442" s="24"/>
      <c r="AN442" s="24"/>
      <c r="AO442" s="24"/>
      <c r="AP442" s="24"/>
      <c r="AQ442" s="24"/>
      <c r="AR442" s="24"/>
      <c r="AS442" s="24"/>
      <c r="AT442" s="24"/>
      <c r="AU442" s="24"/>
      <c r="AV442" s="24"/>
      <c r="AW442" s="24"/>
      <c r="AX442" s="24"/>
      <c r="AY442" s="24"/>
      <c r="AZ442" s="24"/>
      <c r="BA442" s="24"/>
      <c r="BB442" s="24"/>
      <c r="BC442" s="24"/>
      <c r="BD442" s="24"/>
      <c r="BE442" s="24"/>
    </row>
    <row r="443" spans="36:57" ht="12.75">
      <c r="AJ443" s="24"/>
      <c r="AK443" s="24"/>
      <c r="AL443" s="24"/>
      <c r="AM443" s="24"/>
      <c r="AN443" s="24"/>
      <c r="AO443" s="24"/>
      <c r="AP443" s="24"/>
      <c r="AQ443" s="24"/>
      <c r="AR443" s="24"/>
      <c r="AS443" s="24"/>
      <c r="AT443" s="24"/>
      <c r="AU443" s="24"/>
      <c r="AV443" s="24"/>
      <c r="AW443" s="24"/>
      <c r="AX443" s="24"/>
      <c r="AY443" s="24"/>
      <c r="AZ443" s="24"/>
      <c r="BA443" s="24"/>
      <c r="BB443" s="24"/>
      <c r="BC443" s="24"/>
      <c r="BD443" s="24"/>
      <c r="BE443" s="24"/>
    </row>
    <row r="444" spans="36:57" ht="12.75">
      <c r="AJ444" s="24"/>
      <c r="AK444" s="24"/>
      <c r="AL444" s="24"/>
      <c r="AM444" s="24"/>
      <c r="AN444" s="24"/>
      <c r="AO444" s="24"/>
      <c r="AP444" s="24"/>
      <c r="AQ444" s="24"/>
      <c r="AR444" s="24"/>
      <c r="AS444" s="24"/>
      <c r="AT444" s="24"/>
      <c r="AU444" s="24"/>
      <c r="AV444" s="24"/>
      <c r="AW444" s="24"/>
      <c r="AX444" s="24"/>
      <c r="AY444" s="24"/>
      <c r="AZ444" s="24"/>
      <c r="BA444" s="24"/>
      <c r="BB444" s="24"/>
      <c r="BC444" s="24"/>
      <c r="BD444" s="24"/>
      <c r="BE444" s="24"/>
    </row>
    <row r="445" spans="36:57" ht="12.75">
      <c r="AJ445" s="24"/>
      <c r="AK445" s="24"/>
      <c r="AL445" s="24"/>
      <c r="AM445" s="24"/>
      <c r="AN445" s="24"/>
      <c r="AO445" s="24"/>
      <c r="AP445" s="24"/>
      <c r="AQ445" s="24"/>
      <c r="AR445" s="24"/>
      <c r="AS445" s="24"/>
      <c r="AT445" s="24"/>
      <c r="AU445" s="24"/>
      <c r="AV445" s="24"/>
      <c r="AW445" s="24"/>
      <c r="AX445" s="24"/>
      <c r="AY445" s="24"/>
      <c r="AZ445" s="24"/>
      <c r="BA445" s="24"/>
      <c r="BB445" s="24"/>
      <c r="BC445" s="24"/>
      <c r="BD445" s="24"/>
      <c r="BE445" s="24"/>
    </row>
    <row r="446" spans="36:57" ht="12.75">
      <c r="AJ446" s="24"/>
      <c r="AK446" s="24"/>
      <c r="AL446" s="24"/>
      <c r="AM446" s="24"/>
      <c r="AN446" s="24"/>
      <c r="AO446" s="24"/>
      <c r="AP446" s="24"/>
      <c r="AQ446" s="24"/>
      <c r="AR446" s="24"/>
      <c r="AS446" s="24"/>
      <c r="AT446" s="24"/>
      <c r="AU446" s="24"/>
      <c r="AV446" s="24"/>
      <c r="AW446" s="24"/>
      <c r="AX446" s="24"/>
      <c r="AY446" s="24"/>
      <c r="AZ446" s="24"/>
      <c r="BA446" s="24"/>
      <c r="BB446" s="24"/>
      <c r="BC446" s="24"/>
      <c r="BD446" s="24"/>
      <c r="BE446" s="24"/>
    </row>
    <row r="447" spans="36:57" ht="12.75">
      <c r="AJ447" s="24"/>
      <c r="AK447" s="24"/>
      <c r="AL447" s="24"/>
      <c r="AM447" s="24"/>
      <c r="AN447" s="24"/>
      <c r="AO447" s="24"/>
      <c r="AP447" s="24"/>
      <c r="AQ447" s="24"/>
      <c r="AR447" s="24"/>
      <c r="AS447" s="24"/>
      <c r="AT447" s="24"/>
      <c r="AU447" s="24"/>
      <c r="AV447" s="24"/>
      <c r="AW447" s="24"/>
      <c r="AX447" s="24"/>
      <c r="AY447" s="24"/>
      <c r="AZ447" s="24"/>
      <c r="BA447" s="24"/>
      <c r="BB447" s="24"/>
      <c r="BC447" s="24"/>
      <c r="BD447" s="24"/>
      <c r="BE447" s="24"/>
    </row>
    <row r="448" spans="36:57" ht="12.75">
      <c r="AJ448" s="24"/>
      <c r="AK448" s="24"/>
      <c r="AL448" s="24"/>
      <c r="AM448" s="24"/>
      <c r="AN448" s="24"/>
      <c r="AO448" s="24"/>
      <c r="AP448" s="24"/>
      <c r="AQ448" s="24"/>
      <c r="AR448" s="24"/>
      <c r="AS448" s="24"/>
      <c r="AT448" s="24"/>
      <c r="AU448" s="24"/>
      <c r="AV448" s="24"/>
      <c r="AW448" s="24"/>
      <c r="AX448" s="24"/>
      <c r="AY448" s="24"/>
      <c r="AZ448" s="24"/>
      <c r="BA448" s="24"/>
      <c r="BB448" s="24"/>
      <c r="BC448" s="24"/>
      <c r="BD448" s="24"/>
      <c r="BE448" s="24"/>
    </row>
    <row r="449" spans="36:57" ht="12.75">
      <c r="AJ449" s="24"/>
      <c r="AK449" s="24"/>
      <c r="AL449" s="24"/>
      <c r="AM449" s="24"/>
      <c r="AN449" s="24"/>
      <c r="AO449" s="24"/>
      <c r="AP449" s="24"/>
      <c r="AQ449" s="24"/>
      <c r="AR449" s="24"/>
      <c r="AS449" s="24"/>
      <c r="AT449" s="24"/>
      <c r="AU449" s="24"/>
      <c r="AV449" s="24"/>
      <c r="AW449" s="24"/>
      <c r="AX449" s="24"/>
      <c r="AY449" s="24"/>
      <c r="AZ449" s="24"/>
      <c r="BA449" s="24"/>
      <c r="BB449" s="24"/>
      <c r="BC449" s="24"/>
      <c r="BD449" s="24"/>
      <c r="BE449" s="24"/>
    </row>
    <row r="450" spans="36:57" ht="12.75">
      <c r="AJ450" s="24"/>
      <c r="AK450" s="24"/>
      <c r="AL450" s="24"/>
      <c r="AM450" s="24"/>
      <c r="AN450" s="24"/>
      <c r="AO450" s="24"/>
      <c r="AP450" s="24"/>
      <c r="AQ450" s="24"/>
      <c r="AR450" s="24"/>
      <c r="AS450" s="24"/>
      <c r="AT450" s="24"/>
      <c r="AU450" s="24"/>
      <c r="AV450" s="24"/>
      <c r="AW450" s="24"/>
      <c r="AX450" s="24"/>
      <c r="AY450" s="24"/>
      <c r="AZ450" s="24"/>
      <c r="BA450" s="24"/>
      <c r="BB450" s="24"/>
      <c r="BC450" s="24"/>
      <c r="BD450" s="24"/>
      <c r="BE450" s="24"/>
    </row>
    <row r="451" spans="36:57" ht="12.75">
      <c r="AJ451" s="24"/>
      <c r="AK451" s="24"/>
      <c r="AL451" s="24"/>
      <c r="AM451" s="24"/>
      <c r="AN451" s="24"/>
      <c r="AO451" s="24"/>
      <c r="AP451" s="24"/>
      <c r="AQ451" s="24"/>
      <c r="AR451" s="24"/>
      <c r="AS451" s="24"/>
      <c r="AT451" s="24"/>
      <c r="AU451" s="24"/>
      <c r="AV451" s="24"/>
      <c r="AW451" s="24"/>
      <c r="AX451" s="24"/>
      <c r="AY451" s="24"/>
      <c r="AZ451" s="24"/>
      <c r="BA451" s="24"/>
      <c r="BB451" s="24"/>
      <c r="BC451" s="24"/>
      <c r="BD451" s="24"/>
      <c r="BE451" s="24"/>
    </row>
    <row r="452" spans="36:57" ht="12.75">
      <c r="AJ452" s="24"/>
      <c r="AK452" s="24"/>
      <c r="AL452" s="24"/>
      <c r="AM452" s="24"/>
      <c r="AN452" s="24"/>
      <c r="AO452" s="24"/>
      <c r="AP452" s="24"/>
      <c r="AQ452" s="24"/>
      <c r="AR452" s="24"/>
      <c r="AS452" s="24"/>
      <c r="AT452" s="24"/>
      <c r="AU452" s="24"/>
      <c r="AV452" s="24"/>
      <c r="AW452" s="24"/>
      <c r="AX452" s="24"/>
      <c r="AY452" s="24"/>
      <c r="AZ452" s="24"/>
      <c r="BA452" s="24"/>
      <c r="BB452" s="24"/>
      <c r="BC452" s="24"/>
      <c r="BD452" s="24"/>
      <c r="BE452" s="24"/>
    </row>
    <row r="453" spans="36:57" ht="12.75">
      <c r="AJ453" s="24"/>
      <c r="AK453" s="24"/>
      <c r="AL453" s="24"/>
      <c r="AM453" s="24"/>
      <c r="AN453" s="24"/>
      <c r="AO453" s="24"/>
      <c r="AP453" s="24"/>
      <c r="AQ453" s="24"/>
      <c r="AR453" s="24"/>
      <c r="AS453" s="24"/>
      <c r="AT453" s="24"/>
      <c r="AU453" s="24"/>
      <c r="AV453" s="24"/>
      <c r="AW453" s="24"/>
      <c r="AX453" s="24"/>
      <c r="AY453" s="24"/>
      <c r="AZ453" s="24"/>
      <c r="BA453" s="24"/>
      <c r="BB453" s="24"/>
      <c r="BC453" s="24"/>
      <c r="BD453" s="24"/>
      <c r="BE453" s="24"/>
    </row>
    <row r="454" spans="36:57" ht="12.75">
      <c r="AJ454" s="24"/>
      <c r="AK454" s="24"/>
      <c r="AL454" s="24"/>
      <c r="AM454" s="24"/>
      <c r="AN454" s="24"/>
      <c r="AO454" s="24"/>
      <c r="AP454" s="24"/>
      <c r="AQ454" s="24"/>
      <c r="AR454" s="24"/>
      <c r="AS454" s="24"/>
      <c r="AT454" s="24"/>
      <c r="AU454" s="24"/>
      <c r="AV454" s="24"/>
      <c r="AW454" s="24"/>
      <c r="AX454" s="24"/>
      <c r="AY454" s="24"/>
      <c r="AZ454" s="24"/>
      <c r="BA454" s="24"/>
      <c r="BB454" s="24"/>
      <c r="BC454" s="24"/>
      <c r="BD454" s="24"/>
      <c r="BE454" s="24"/>
    </row>
    <row r="455" spans="36:57" ht="12.75">
      <c r="AJ455" s="24"/>
      <c r="AK455" s="24"/>
      <c r="AL455" s="24"/>
      <c r="AM455" s="24"/>
      <c r="AN455" s="24"/>
      <c r="AO455" s="24"/>
      <c r="AP455" s="24"/>
      <c r="AQ455" s="24"/>
      <c r="AR455" s="24"/>
      <c r="AS455" s="24"/>
      <c r="AT455" s="24"/>
      <c r="AU455" s="24"/>
      <c r="AV455" s="24"/>
      <c r="AW455" s="24"/>
      <c r="AX455" s="24"/>
      <c r="AY455" s="24"/>
      <c r="AZ455" s="24"/>
      <c r="BA455" s="24"/>
      <c r="BB455" s="24"/>
      <c r="BC455" s="24"/>
      <c r="BD455" s="24"/>
      <c r="BE455" s="24"/>
    </row>
    <row r="456" spans="36:57" ht="12.75">
      <c r="AJ456" s="24"/>
      <c r="AK456" s="24"/>
      <c r="AL456" s="24"/>
      <c r="AM456" s="24"/>
      <c r="AN456" s="24"/>
      <c r="AO456" s="24"/>
      <c r="AP456" s="24"/>
      <c r="AQ456" s="24"/>
      <c r="AR456" s="24"/>
      <c r="AS456" s="24"/>
      <c r="AT456" s="24"/>
      <c r="AU456" s="24"/>
      <c r="AV456" s="24"/>
      <c r="AW456" s="24"/>
      <c r="AX456" s="24"/>
      <c r="AY456" s="24"/>
      <c r="AZ456" s="24"/>
      <c r="BA456" s="24"/>
      <c r="BB456" s="24"/>
      <c r="BC456" s="24"/>
      <c r="BD456" s="24"/>
      <c r="BE456" s="24"/>
    </row>
    <row r="457" spans="36:57" ht="12.75">
      <c r="AJ457" s="24"/>
      <c r="AK457" s="24"/>
      <c r="AL457" s="24"/>
      <c r="AM457" s="24"/>
      <c r="AN457" s="24"/>
      <c r="AO457" s="24"/>
      <c r="AP457" s="24"/>
      <c r="AQ457" s="24"/>
      <c r="AR457" s="24"/>
      <c r="AS457" s="24"/>
      <c r="AT457" s="24"/>
      <c r="AU457" s="24"/>
      <c r="AV457" s="24"/>
      <c r="AW457" s="24"/>
      <c r="AX457" s="24"/>
      <c r="AY457" s="24"/>
      <c r="AZ457" s="24"/>
      <c r="BA457" s="24"/>
      <c r="BB457" s="24"/>
      <c r="BC457" s="24"/>
      <c r="BD457" s="24"/>
      <c r="BE457" s="24"/>
    </row>
    <row r="458" spans="36:57" ht="12.75">
      <c r="AJ458" s="24"/>
      <c r="AK458" s="24"/>
      <c r="AL458" s="24"/>
      <c r="AM458" s="24"/>
      <c r="AN458" s="24"/>
      <c r="AO458" s="24"/>
      <c r="AP458" s="24"/>
      <c r="AQ458" s="24"/>
      <c r="AR458" s="24"/>
      <c r="AS458" s="24"/>
      <c r="AT458" s="24"/>
      <c r="AU458" s="24"/>
      <c r="AV458" s="24"/>
      <c r="AW458" s="24"/>
      <c r="AX458" s="24"/>
      <c r="AY458" s="24"/>
      <c r="AZ458" s="24"/>
      <c r="BA458" s="24"/>
      <c r="BB458" s="24"/>
      <c r="BC458" s="24"/>
      <c r="BD458" s="24"/>
      <c r="BE458" s="24"/>
    </row>
    <row r="459" spans="36:57" ht="12.75">
      <c r="AJ459" s="24"/>
      <c r="AK459" s="24"/>
      <c r="AL459" s="24"/>
      <c r="AM459" s="24"/>
      <c r="AN459" s="24"/>
      <c r="AO459" s="24"/>
      <c r="AP459" s="24"/>
      <c r="AQ459" s="24"/>
      <c r="AR459" s="24"/>
      <c r="AS459" s="24"/>
      <c r="AT459" s="24"/>
      <c r="AU459" s="24"/>
      <c r="AV459" s="24"/>
      <c r="AW459" s="24"/>
      <c r="AX459" s="24"/>
      <c r="AY459" s="24"/>
      <c r="AZ459" s="24"/>
      <c r="BA459" s="24"/>
      <c r="BB459" s="24"/>
      <c r="BC459" s="24"/>
      <c r="BD459" s="24"/>
      <c r="BE459" s="24"/>
    </row>
    <row r="460" spans="36:57" ht="12.75">
      <c r="AJ460" s="24"/>
      <c r="AK460" s="24"/>
      <c r="AL460" s="24"/>
      <c r="AM460" s="24"/>
      <c r="AN460" s="24"/>
      <c r="AO460" s="24"/>
      <c r="AP460" s="24"/>
      <c r="AQ460" s="24"/>
      <c r="AR460" s="24"/>
      <c r="AS460" s="24"/>
      <c r="AT460" s="24"/>
      <c r="AU460" s="24"/>
      <c r="AV460" s="24"/>
      <c r="AW460" s="24"/>
      <c r="AX460" s="24"/>
      <c r="AY460" s="24"/>
      <c r="AZ460" s="24"/>
      <c r="BA460" s="24"/>
      <c r="BB460" s="24"/>
      <c r="BC460" s="24"/>
      <c r="BD460" s="24"/>
      <c r="BE460" s="24"/>
    </row>
    <row r="461" spans="36:57" ht="12.75">
      <c r="AJ461" s="24"/>
      <c r="AK461" s="24"/>
      <c r="AL461" s="24"/>
      <c r="AM461" s="24"/>
      <c r="AN461" s="24"/>
      <c r="AO461" s="24"/>
      <c r="AP461" s="24"/>
      <c r="AQ461" s="24"/>
      <c r="AR461" s="24"/>
      <c r="AS461" s="24"/>
      <c r="AT461" s="24"/>
      <c r="AU461" s="24"/>
      <c r="AV461" s="24"/>
      <c r="AW461" s="24"/>
      <c r="AX461" s="24"/>
      <c r="AY461" s="24"/>
      <c r="AZ461" s="24"/>
      <c r="BA461" s="24"/>
      <c r="BB461" s="24"/>
      <c r="BC461" s="24"/>
      <c r="BD461" s="24"/>
      <c r="BE461" s="24"/>
    </row>
    <row r="462" spans="36:57" ht="12.75">
      <c r="AJ462" s="24"/>
      <c r="AK462" s="24"/>
      <c r="AL462" s="24"/>
      <c r="AM462" s="24"/>
      <c r="AN462" s="24"/>
      <c r="AO462" s="24"/>
      <c r="AP462" s="24"/>
      <c r="AQ462" s="24"/>
      <c r="AR462" s="24"/>
      <c r="AS462" s="24"/>
      <c r="AT462" s="24"/>
      <c r="AU462" s="24"/>
      <c r="AV462" s="24"/>
      <c r="AW462" s="24"/>
      <c r="AX462" s="24"/>
      <c r="AY462" s="24"/>
      <c r="AZ462" s="24"/>
      <c r="BA462" s="24"/>
      <c r="BB462" s="24"/>
      <c r="BC462" s="24"/>
      <c r="BD462" s="24"/>
      <c r="BE462" s="24"/>
    </row>
    <row r="463" spans="36:57" ht="12.75">
      <c r="AJ463" s="24"/>
      <c r="AK463" s="24"/>
      <c r="AL463" s="24"/>
      <c r="AM463" s="24"/>
      <c r="AN463" s="24"/>
      <c r="AO463" s="24"/>
      <c r="AP463" s="24"/>
      <c r="AQ463" s="24"/>
      <c r="AR463" s="24"/>
      <c r="AS463" s="24"/>
      <c r="AT463" s="24"/>
      <c r="AU463" s="24"/>
      <c r="AV463" s="24"/>
      <c r="AW463" s="24"/>
      <c r="AX463" s="24"/>
      <c r="AY463" s="24"/>
      <c r="AZ463" s="24"/>
      <c r="BA463" s="24"/>
      <c r="BB463" s="24"/>
      <c r="BC463" s="24"/>
      <c r="BD463" s="24"/>
      <c r="BE463" s="24"/>
    </row>
    <row r="464" spans="36:57" ht="12.75">
      <c r="AJ464" s="24"/>
      <c r="AK464" s="24"/>
      <c r="AL464" s="24"/>
      <c r="AM464" s="24"/>
      <c r="AN464" s="24"/>
      <c r="AO464" s="24"/>
      <c r="AP464" s="24"/>
      <c r="AQ464" s="24"/>
      <c r="AR464" s="24"/>
      <c r="AS464" s="24"/>
      <c r="AT464" s="24"/>
      <c r="AU464" s="24"/>
      <c r="AV464" s="24"/>
      <c r="AW464" s="24"/>
      <c r="AX464" s="24"/>
      <c r="AY464" s="24"/>
      <c r="AZ464" s="24"/>
      <c r="BA464" s="24"/>
      <c r="BB464" s="24"/>
      <c r="BC464" s="24"/>
      <c r="BD464" s="24"/>
      <c r="BE464" s="24"/>
    </row>
    <row r="465" spans="36:57" ht="12.75">
      <c r="AJ465" s="24"/>
      <c r="AK465" s="24"/>
      <c r="AL465" s="24"/>
      <c r="AM465" s="24"/>
      <c r="AN465" s="24"/>
      <c r="AO465" s="24"/>
      <c r="AP465" s="24"/>
      <c r="AQ465" s="24"/>
      <c r="AR465" s="24"/>
      <c r="AS465" s="24"/>
      <c r="AT465" s="24"/>
      <c r="AU465" s="24"/>
      <c r="AV465" s="24"/>
      <c r="AW465" s="24"/>
      <c r="AX465" s="24"/>
      <c r="AY465" s="24"/>
      <c r="AZ465" s="24"/>
      <c r="BA465" s="24"/>
      <c r="BB465" s="24"/>
      <c r="BC465" s="24"/>
      <c r="BD465" s="24"/>
      <c r="BE465" s="24"/>
    </row>
    <row r="466" spans="36:57" ht="12.75">
      <c r="AJ466" s="24"/>
      <c r="AK466" s="24"/>
      <c r="AL466" s="24"/>
      <c r="AM466" s="24"/>
      <c r="AN466" s="24"/>
      <c r="AO466" s="24"/>
      <c r="AP466" s="24"/>
      <c r="AQ466" s="24"/>
      <c r="AR466" s="24"/>
      <c r="AS466" s="24"/>
      <c r="AT466" s="24"/>
      <c r="AU466" s="24"/>
      <c r="AV466" s="24"/>
      <c r="AW466" s="24"/>
      <c r="AX466" s="24"/>
      <c r="AY466" s="24"/>
      <c r="AZ466" s="24"/>
      <c r="BA466" s="24"/>
      <c r="BB466" s="24"/>
      <c r="BC466" s="24"/>
      <c r="BD466" s="24"/>
      <c r="BE466" s="24"/>
    </row>
    <row r="467" spans="36:57" ht="12.75">
      <c r="AJ467" s="24"/>
      <c r="AK467" s="24"/>
      <c r="AL467" s="24"/>
      <c r="AM467" s="24"/>
      <c r="AN467" s="24"/>
      <c r="AO467" s="24"/>
      <c r="AP467" s="24"/>
      <c r="AQ467" s="24"/>
      <c r="AR467" s="24"/>
      <c r="AS467" s="24"/>
      <c r="AT467" s="24"/>
      <c r="AU467" s="24"/>
      <c r="AV467" s="24"/>
      <c r="AW467" s="24"/>
      <c r="AX467" s="24"/>
      <c r="AY467" s="24"/>
      <c r="AZ467" s="24"/>
      <c r="BA467" s="24"/>
      <c r="BB467" s="24"/>
      <c r="BC467" s="24"/>
      <c r="BD467" s="24"/>
      <c r="BE467" s="24"/>
    </row>
    <row r="468" spans="36:57" ht="12.75">
      <c r="AJ468" s="24"/>
      <c r="AK468" s="24"/>
      <c r="AL468" s="24"/>
      <c r="AM468" s="24"/>
      <c r="AN468" s="24"/>
      <c r="AO468" s="24"/>
      <c r="AP468" s="24"/>
      <c r="AQ468" s="24"/>
      <c r="AR468" s="24"/>
      <c r="AS468" s="24"/>
      <c r="AT468" s="24"/>
      <c r="AU468" s="24"/>
      <c r="AV468" s="24"/>
      <c r="AW468" s="24"/>
      <c r="AX468" s="24"/>
      <c r="AY468" s="24"/>
      <c r="AZ468" s="24"/>
      <c r="BA468" s="24"/>
      <c r="BB468" s="24"/>
      <c r="BC468" s="24"/>
      <c r="BD468" s="24"/>
      <c r="BE468" s="24"/>
    </row>
    <row r="469" spans="36:57" ht="12.75">
      <c r="AJ469" s="24"/>
      <c r="AK469" s="24"/>
      <c r="AL469" s="24"/>
      <c r="AM469" s="24"/>
      <c r="AN469" s="24"/>
      <c r="AO469" s="24"/>
      <c r="AP469" s="24"/>
      <c r="AQ469" s="24"/>
      <c r="AR469" s="24"/>
      <c r="AS469" s="24"/>
      <c r="AT469" s="24"/>
      <c r="AU469" s="24"/>
      <c r="AV469" s="24"/>
      <c r="AW469" s="24"/>
      <c r="AX469" s="24"/>
      <c r="AY469" s="24"/>
      <c r="AZ469" s="24"/>
      <c r="BA469" s="24"/>
      <c r="BB469" s="24"/>
      <c r="BC469" s="24"/>
      <c r="BD469" s="24"/>
      <c r="BE469" s="24"/>
    </row>
    <row r="470" spans="36:57" ht="12.75">
      <c r="AJ470" s="24"/>
      <c r="AK470" s="24"/>
      <c r="AL470" s="24"/>
      <c r="AM470" s="24"/>
      <c r="AN470" s="24"/>
      <c r="AO470" s="24"/>
      <c r="AP470" s="24"/>
      <c r="AQ470" s="24"/>
      <c r="AR470" s="24"/>
      <c r="AS470" s="24"/>
      <c r="AT470" s="24"/>
      <c r="AU470" s="24"/>
      <c r="AV470" s="24"/>
      <c r="AW470" s="24"/>
      <c r="AX470" s="24"/>
      <c r="AY470" s="24"/>
      <c r="AZ470" s="24"/>
      <c r="BA470" s="24"/>
      <c r="BB470" s="24"/>
      <c r="BC470" s="24"/>
      <c r="BD470" s="24"/>
      <c r="BE470" s="24"/>
    </row>
    <row r="471" spans="36:57" ht="12.75">
      <c r="AJ471" s="24"/>
      <c r="AK471" s="24"/>
      <c r="AL471" s="24"/>
      <c r="AM471" s="24"/>
      <c r="AN471" s="24"/>
      <c r="AO471" s="24"/>
      <c r="AP471" s="24"/>
      <c r="AQ471" s="24"/>
      <c r="AR471" s="24"/>
      <c r="AS471" s="24"/>
      <c r="AT471" s="24"/>
      <c r="AU471" s="24"/>
      <c r="AV471" s="24"/>
      <c r="AW471" s="24"/>
      <c r="AX471" s="24"/>
      <c r="AY471" s="24"/>
      <c r="AZ471" s="24"/>
      <c r="BA471" s="24"/>
      <c r="BB471" s="24"/>
      <c r="BC471" s="24"/>
      <c r="BD471" s="24"/>
      <c r="BE471" s="24"/>
    </row>
    <row r="472" spans="36:57" ht="12.75">
      <c r="AJ472" s="24"/>
      <c r="AK472" s="24"/>
      <c r="AL472" s="24"/>
      <c r="AM472" s="24"/>
      <c r="AN472" s="24"/>
      <c r="AO472" s="24"/>
      <c r="AP472" s="24"/>
      <c r="AQ472" s="24"/>
      <c r="AR472" s="24"/>
      <c r="AS472" s="24"/>
      <c r="AT472" s="24"/>
      <c r="AU472" s="24"/>
      <c r="AV472" s="24"/>
      <c r="AW472" s="24"/>
      <c r="AX472" s="24"/>
      <c r="AY472" s="24"/>
      <c r="AZ472" s="24"/>
      <c r="BA472" s="24"/>
      <c r="BB472" s="24"/>
      <c r="BC472" s="24"/>
      <c r="BD472" s="24"/>
      <c r="BE472" s="24"/>
    </row>
    <row r="473" spans="36:57" ht="12.75">
      <c r="AJ473" s="24"/>
      <c r="AK473" s="24"/>
      <c r="AL473" s="24"/>
      <c r="AM473" s="24"/>
      <c r="AN473" s="24"/>
      <c r="AO473" s="24"/>
      <c r="AP473" s="24"/>
      <c r="AQ473" s="24"/>
      <c r="AR473" s="24"/>
      <c r="AS473" s="24"/>
      <c r="AT473" s="24"/>
      <c r="AU473" s="24"/>
      <c r="AV473" s="24"/>
      <c r="AW473" s="24"/>
      <c r="AX473" s="24"/>
      <c r="AY473" s="24"/>
      <c r="AZ473" s="24"/>
      <c r="BA473" s="24"/>
      <c r="BB473" s="24"/>
      <c r="BC473" s="24"/>
      <c r="BD473" s="24"/>
      <c r="BE473" s="24"/>
    </row>
    <row r="474" spans="36:57" ht="12.75">
      <c r="AJ474" s="24"/>
      <c r="AK474" s="24"/>
      <c r="AL474" s="24"/>
      <c r="AM474" s="24"/>
      <c r="AN474" s="24"/>
      <c r="AO474" s="24"/>
      <c r="AP474" s="24"/>
      <c r="AQ474" s="24"/>
      <c r="AR474" s="24"/>
      <c r="AS474" s="24"/>
      <c r="AT474" s="24"/>
      <c r="AU474" s="24"/>
      <c r="AV474" s="24"/>
      <c r="AW474" s="24"/>
      <c r="AX474" s="24"/>
      <c r="AY474" s="24"/>
      <c r="AZ474" s="24"/>
      <c r="BA474" s="24"/>
      <c r="BB474" s="24"/>
      <c r="BC474" s="24"/>
      <c r="BD474" s="24"/>
      <c r="BE474" s="24"/>
    </row>
    <row r="475" spans="36:57" ht="12.75">
      <c r="AJ475" s="24"/>
      <c r="AK475" s="24"/>
      <c r="AL475" s="24"/>
      <c r="AM475" s="24"/>
      <c r="AN475" s="24"/>
      <c r="AO475" s="24"/>
      <c r="AP475" s="24"/>
      <c r="AQ475" s="24"/>
      <c r="AR475" s="24"/>
      <c r="AS475" s="24"/>
      <c r="AT475" s="24"/>
      <c r="AU475" s="24"/>
      <c r="AV475" s="24"/>
      <c r="AW475" s="24"/>
      <c r="AX475" s="24"/>
      <c r="AY475" s="24"/>
      <c r="AZ475" s="24"/>
      <c r="BA475" s="24"/>
      <c r="BB475" s="24"/>
      <c r="BC475" s="24"/>
      <c r="BD475" s="24"/>
      <c r="BE475" s="24"/>
    </row>
    <row r="476" spans="36:57" ht="12.75">
      <c r="AJ476" s="24"/>
      <c r="AK476" s="24"/>
      <c r="AL476" s="24"/>
      <c r="AM476" s="24"/>
      <c r="AN476" s="24"/>
      <c r="AO476" s="24"/>
      <c r="AP476" s="24"/>
      <c r="AQ476" s="24"/>
      <c r="AR476" s="24"/>
      <c r="AS476" s="24"/>
      <c r="AT476" s="24"/>
      <c r="AU476" s="24"/>
      <c r="AV476" s="24"/>
      <c r="AW476" s="24"/>
      <c r="AX476" s="24"/>
      <c r="AY476" s="24"/>
      <c r="AZ476" s="24"/>
      <c r="BA476" s="24"/>
      <c r="BB476" s="24"/>
      <c r="BC476" s="24"/>
      <c r="BD476" s="24"/>
      <c r="BE476" s="24"/>
    </row>
    <row r="477" spans="36:57" ht="12.75">
      <c r="AJ477" s="24"/>
      <c r="AK477" s="24"/>
      <c r="AL477" s="24"/>
      <c r="AM477" s="24"/>
      <c r="AN477" s="24"/>
      <c r="AO477" s="24"/>
      <c r="AP477" s="24"/>
      <c r="AQ477" s="24"/>
      <c r="AR477" s="24"/>
      <c r="AS477" s="24"/>
      <c r="AT477" s="24"/>
      <c r="AU477" s="24"/>
      <c r="AV477" s="24"/>
      <c r="AW477" s="24"/>
      <c r="AX477" s="24"/>
      <c r="AY477" s="24"/>
      <c r="AZ477" s="24"/>
      <c r="BA477" s="24"/>
      <c r="BB477" s="24"/>
      <c r="BC477" s="24"/>
      <c r="BD477" s="24"/>
      <c r="BE477" s="24"/>
    </row>
    <row r="478" spans="36:57" ht="12.75">
      <c r="AJ478" s="24"/>
      <c r="AK478" s="24"/>
      <c r="AL478" s="24"/>
      <c r="AM478" s="24"/>
      <c r="AN478" s="24"/>
      <c r="AO478" s="24"/>
      <c r="AP478" s="24"/>
      <c r="AQ478" s="24"/>
      <c r="AR478" s="24"/>
      <c r="AS478" s="24"/>
      <c r="AT478" s="24"/>
      <c r="AU478" s="24"/>
      <c r="AV478" s="24"/>
      <c r="AW478" s="24"/>
      <c r="AX478" s="24"/>
      <c r="AY478" s="24"/>
      <c r="AZ478" s="24"/>
      <c r="BA478" s="24"/>
      <c r="BB478" s="24"/>
      <c r="BC478" s="24"/>
      <c r="BD478" s="24"/>
      <c r="BE478" s="24"/>
    </row>
    <row r="479" spans="36:57" ht="12.75">
      <c r="AJ479" s="24"/>
      <c r="AK479" s="24"/>
      <c r="AL479" s="24"/>
      <c r="AM479" s="24"/>
      <c r="AN479" s="24"/>
      <c r="AO479" s="24"/>
      <c r="AP479" s="24"/>
      <c r="AQ479" s="24"/>
      <c r="AR479" s="24"/>
      <c r="AS479" s="24"/>
      <c r="AT479" s="24"/>
      <c r="AU479" s="24"/>
      <c r="AV479" s="24"/>
      <c r="AW479" s="24"/>
      <c r="AX479" s="24"/>
      <c r="AY479" s="24"/>
      <c r="AZ479" s="24"/>
      <c r="BA479" s="24"/>
      <c r="BB479" s="24"/>
      <c r="BC479" s="24"/>
      <c r="BD479" s="24"/>
      <c r="BE479" s="24"/>
    </row>
    <row r="480" spans="36:57" ht="12.75">
      <c r="AJ480" s="24"/>
      <c r="AK480" s="24"/>
      <c r="AL480" s="24"/>
      <c r="AM480" s="24"/>
      <c r="AN480" s="24"/>
      <c r="AO480" s="24"/>
      <c r="AP480" s="24"/>
      <c r="AQ480" s="24"/>
      <c r="AR480" s="24"/>
      <c r="AS480" s="24"/>
      <c r="AT480" s="24"/>
      <c r="AU480" s="24"/>
      <c r="AV480" s="24"/>
      <c r="AW480" s="24"/>
      <c r="AX480" s="24"/>
      <c r="AY480" s="24"/>
      <c r="AZ480" s="24"/>
      <c r="BA480" s="24"/>
      <c r="BB480" s="24"/>
      <c r="BC480" s="24"/>
      <c r="BD480" s="24"/>
      <c r="BE480" s="24"/>
    </row>
    <row r="481" spans="36:57" ht="12.75">
      <c r="AJ481" s="24"/>
      <c r="AK481" s="24"/>
      <c r="AL481" s="24"/>
      <c r="AM481" s="24"/>
      <c r="AN481" s="24"/>
      <c r="AO481" s="24"/>
      <c r="AP481" s="24"/>
      <c r="AQ481" s="24"/>
      <c r="AR481" s="24"/>
      <c r="AS481" s="24"/>
      <c r="AT481" s="24"/>
      <c r="AU481" s="24"/>
      <c r="AV481" s="24"/>
      <c r="AW481" s="24"/>
      <c r="AX481" s="24"/>
      <c r="AY481" s="24"/>
      <c r="AZ481" s="24"/>
      <c r="BA481" s="24"/>
      <c r="BB481" s="24"/>
      <c r="BC481" s="24"/>
      <c r="BD481" s="24"/>
      <c r="BE481" s="24"/>
    </row>
    <row r="482" spans="36:57" ht="12.75">
      <c r="AJ482" s="24"/>
      <c r="AK482" s="24"/>
      <c r="AL482" s="24"/>
      <c r="AM482" s="24"/>
      <c r="AN482" s="24"/>
      <c r="AO482" s="24"/>
      <c r="AP482" s="24"/>
      <c r="AQ482" s="24"/>
      <c r="AR482" s="24"/>
      <c r="AS482" s="24"/>
      <c r="AT482" s="24"/>
      <c r="AU482" s="24"/>
      <c r="AV482" s="24"/>
      <c r="AW482" s="24"/>
      <c r="AX482" s="24"/>
      <c r="AY482" s="24"/>
      <c r="AZ482" s="24"/>
      <c r="BA482" s="24"/>
      <c r="BB482" s="24"/>
      <c r="BC482" s="24"/>
      <c r="BD482" s="24"/>
      <c r="BE482" s="24"/>
    </row>
    <row r="483" spans="36:57" ht="12.75">
      <c r="AJ483" s="24"/>
      <c r="AK483" s="24"/>
      <c r="AL483" s="24"/>
      <c r="AM483" s="24"/>
      <c r="AN483" s="24"/>
      <c r="AO483" s="24"/>
      <c r="AP483" s="24"/>
      <c r="AQ483" s="24"/>
      <c r="AR483" s="24"/>
      <c r="AS483" s="24"/>
      <c r="AT483" s="24"/>
      <c r="AU483" s="24"/>
      <c r="AV483" s="24"/>
      <c r="AW483" s="24"/>
      <c r="AX483" s="24"/>
      <c r="AY483" s="24"/>
      <c r="AZ483" s="24"/>
      <c r="BA483" s="24"/>
      <c r="BB483" s="24"/>
      <c r="BC483" s="24"/>
      <c r="BD483" s="24"/>
      <c r="BE483" s="24"/>
    </row>
    <row r="484" spans="36:57" ht="12.75">
      <c r="AJ484" s="24"/>
      <c r="AK484" s="24"/>
      <c r="AL484" s="24"/>
      <c r="AM484" s="24"/>
      <c r="AN484" s="24"/>
      <c r="AO484" s="24"/>
      <c r="AP484" s="24"/>
      <c r="AQ484" s="24"/>
      <c r="AR484" s="24"/>
      <c r="AS484" s="24"/>
      <c r="AT484" s="24"/>
      <c r="AU484" s="24"/>
      <c r="AV484" s="24"/>
      <c r="AW484" s="24"/>
      <c r="AX484" s="24"/>
      <c r="AY484" s="24"/>
      <c r="AZ484" s="24"/>
      <c r="BA484" s="24"/>
      <c r="BB484" s="24"/>
      <c r="BC484" s="24"/>
      <c r="BD484" s="24"/>
      <c r="BE484" s="24"/>
    </row>
    <row r="485" spans="36:57" ht="12.75">
      <c r="AJ485" s="24"/>
      <c r="AK485" s="24"/>
      <c r="AL485" s="24"/>
      <c r="AM485" s="24"/>
      <c r="AN485" s="24"/>
      <c r="AO485" s="24"/>
      <c r="AP485" s="24"/>
      <c r="AQ485" s="24"/>
      <c r="AR485" s="24"/>
      <c r="AS485" s="24"/>
      <c r="AT485" s="24"/>
      <c r="AU485" s="24"/>
      <c r="AV485" s="24"/>
      <c r="AW485" s="24"/>
      <c r="AX485" s="24"/>
      <c r="AY485" s="24"/>
      <c r="AZ485" s="24"/>
      <c r="BA485" s="24"/>
      <c r="BB485" s="24"/>
      <c r="BC485" s="24"/>
      <c r="BD485" s="24"/>
      <c r="BE485" s="24"/>
    </row>
    <row r="486" spans="36:57" ht="12.75">
      <c r="AJ486" s="24"/>
      <c r="AK486" s="24"/>
      <c r="AL486" s="24"/>
      <c r="AM486" s="24"/>
      <c r="AN486" s="24"/>
      <c r="AO486" s="24"/>
      <c r="AP486" s="24"/>
      <c r="AQ486" s="24"/>
      <c r="AR486" s="24"/>
      <c r="AS486" s="24"/>
      <c r="AT486" s="24"/>
      <c r="AU486" s="24"/>
      <c r="AV486" s="24"/>
      <c r="AW486" s="24"/>
      <c r="AX486" s="24"/>
      <c r="AY486" s="24"/>
      <c r="AZ486" s="24"/>
      <c r="BA486" s="24"/>
      <c r="BB486" s="24"/>
      <c r="BC486" s="24"/>
      <c r="BD486" s="24"/>
      <c r="BE486" s="24"/>
    </row>
    <row r="487" spans="36:57" ht="12.75">
      <c r="AJ487" s="24"/>
      <c r="AK487" s="24"/>
      <c r="AL487" s="24"/>
      <c r="AM487" s="24"/>
      <c r="AN487" s="24"/>
      <c r="AO487" s="24"/>
      <c r="AP487" s="24"/>
      <c r="AQ487" s="24"/>
      <c r="AR487" s="24"/>
      <c r="AS487" s="24"/>
      <c r="AT487" s="24"/>
      <c r="AU487" s="24"/>
      <c r="AV487" s="24"/>
      <c r="AW487" s="24"/>
      <c r="AX487" s="24"/>
      <c r="AY487" s="24"/>
      <c r="AZ487" s="24"/>
      <c r="BA487" s="24"/>
      <c r="BB487" s="24"/>
      <c r="BC487" s="24"/>
      <c r="BD487" s="24"/>
      <c r="BE487" s="24"/>
    </row>
    <row r="488" spans="36:57" ht="12.75">
      <c r="AJ488" s="24"/>
      <c r="AK488" s="24"/>
      <c r="AL488" s="24"/>
      <c r="AM488" s="24"/>
      <c r="AN488" s="24"/>
      <c r="AO488" s="24"/>
      <c r="AP488" s="24"/>
      <c r="AQ488" s="24"/>
      <c r="AR488" s="24"/>
      <c r="AS488" s="24"/>
      <c r="AT488" s="24"/>
      <c r="AU488" s="24"/>
      <c r="AV488" s="24"/>
      <c r="AW488" s="24"/>
      <c r="AX488" s="24"/>
      <c r="AY488" s="24"/>
      <c r="AZ488" s="24"/>
      <c r="BA488" s="24"/>
      <c r="BB488" s="24"/>
      <c r="BC488" s="24"/>
      <c r="BD488" s="24"/>
      <c r="BE488" s="24"/>
    </row>
    <row r="489" spans="36:57" ht="12.75">
      <c r="AJ489" s="24"/>
      <c r="AK489" s="24"/>
      <c r="AL489" s="24"/>
      <c r="AM489" s="24"/>
      <c r="AN489" s="24"/>
      <c r="AO489" s="24"/>
      <c r="AP489" s="24"/>
      <c r="AQ489" s="24"/>
      <c r="AR489" s="24"/>
      <c r="AS489" s="24"/>
      <c r="AT489" s="24"/>
      <c r="AU489" s="24"/>
      <c r="AV489" s="24"/>
      <c r="AW489" s="24"/>
      <c r="AX489" s="24"/>
      <c r="AY489" s="24"/>
      <c r="AZ489" s="24"/>
      <c r="BA489" s="24"/>
      <c r="BB489" s="24"/>
      <c r="BC489" s="24"/>
      <c r="BD489" s="24"/>
      <c r="BE489" s="24"/>
    </row>
    <row r="490" spans="36:57" ht="12.75">
      <c r="AJ490" s="24"/>
      <c r="AK490" s="24"/>
      <c r="AL490" s="24"/>
      <c r="AM490" s="24"/>
      <c r="AN490" s="24"/>
      <c r="AO490" s="24"/>
      <c r="AP490" s="24"/>
      <c r="AQ490" s="24"/>
      <c r="AR490" s="24"/>
      <c r="AS490" s="24"/>
      <c r="AT490" s="24"/>
      <c r="AU490" s="24"/>
      <c r="AV490" s="24"/>
      <c r="AW490" s="24"/>
      <c r="AX490" s="24"/>
      <c r="AY490" s="24"/>
      <c r="AZ490" s="24"/>
      <c r="BA490" s="24"/>
      <c r="BB490" s="24"/>
      <c r="BC490" s="24"/>
      <c r="BD490" s="24"/>
      <c r="BE490" s="24"/>
    </row>
    <row r="491" spans="36:57" ht="12.75">
      <c r="AJ491" s="24"/>
      <c r="AK491" s="24"/>
      <c r="AL491" s="24"/>
      <c r="AM491" s="24"/>
      <c r="AN491" s="24"/>
      <c r="AO491" s="24"/>
      <c r="AP491" s="24"/>
      <c r="AQ491" s="24"/>
      <c r="AR491" s="24"/>
      <c r="AS491" s="24"/>
      <c r="AT491" s="24"/>
      <c r="AU491" s="24"/>
      <c r="AV491" s="24"/>
      <c r="AW491" s="24"/>
      <c r="AX491" s="24"/>
      <c r="AY491" s="24"/>
      <c r="AZ491" s="24"/>
      <c r="BA491" s="24"/>
      <c r="BB491" s="24"/>
      <c r="BC491" s="24"/>
      <c r="BD491" s="24"/>
      <c r="BE491" s="24"/>
    </row>
    <row r="492" spans="36:57" ht="12.75">
      <c r="AJ492" s="24"/>
      <c r="AK492" s="24"/>
      <c r="AL492" s="24"/>
      <c r="AM492" s="24"/>
      <c r="AN492" s="24"/>
      <c r="AO492" s="24"/>
      <c r="AP492" s="24"/>
      <c r="AQ492" s="24"/>
      <c r="AR492" s="24"/>
      <c r="AS492" s="24"/>
      <c r="AT492" s="24"/>
      <c r="AU492" s="24"/>
      <c r="AV492" s="24"/>
      <c r="AW492" s="24"/>
      <c r="AX492" s="24"/>
      <c r="AY492" s="24"/>
      <c r="AZ492" s="24"/>
      <c r="BA492" s="24"/>
      <c r="BB492" s="24"/>
      <c r="BC492" s="24"/>
      <c r="BD492" s="24"/>
      <c r="BE492" s="24"/>
    </row>
    <row r="493" spans="36:57" ht="12.75">
      <c r="AJ493" s="24"/>
      <c r="AK493" s="24"/>
      <c r="AL493" s="24"/>
      <c r="AM493" s="24"/>
      <c r="AN493" s="24"/>
      <c r="AO493" s="24"/>
      <c r="AP493" s="24"/>
      <c r="AQ493" s="24"/>
      <c r="AR493" s="24"/>
      <c r="AS493" s="24"/>
      <c r="AT493" s="24"/>
      <c r="AU493" s="24"/>
      <c r="AV493" s="24"/>
      <c r="AW493" s="24"/>
      <c r="AX493" s="24"/>
      <c r="AY493" s="24"/>
      <c r="AZ493" s="24"/>
      <c r="BA493" s="24"/>
      <c r="BB493" s="24"/>
      <c r="BC493" s="24"/>
      <c r="BD493" s="24"/>
      <c r="BE493" s="24"/>
    </row>
    <row r="494" spans="36:57" ht="12.75">
      <c r="AJ494" s="24"/>
      <c r="AK494" s="24"/>
      <c r="AL494" s="24"/>
      <c r="AM494" s="24"/>
      <c r="AN494" s="24"/>
      <c r="AO494" s="24"/>
      <c r="AP494" s="24"/>
      <c r="AQ494" s="24"/>
      <c r="AR494" s="24"/>
      <c r="AS494" s="24"/>
      <c r="AT494" s="24"/>
      <c r="AU494" s="24"/>
      <c r="AV494" s="24"/>
      <c r="AW494" s="24"/>
      <c r="AX494" s="24"/>
      <c r="AY494" s="24"/>
      <c r="AZ494" s="24"/>
      <c r="BA494" s="24"/>
      <c r="BB494" s="24"/>
      <c r="BC494" s="24"/>
      <c r="BD494" s="24"/>
      <c r="BE494" s="24"/>
    </row>
    <row r="495" spans="36:57" ht="12.75">
      <c r="AJ495" s="24"/>
      <c r="AK495" s="24"/>
      <c r="AL495" s="24"/>
      <c r="AM495" s="24"/>
      <c r="AN495" s="24"/>
      <c r="AO495" s="24"/>
      <c r="AP495" s="24"/>
      <c r="AQ495" s="24"/>
      <c r="AR495" s="24"/>
      <c r="AS495" s="24"/>
      <c r="AT495" s="24"/>
      <c r="AU495" s="24"/>
      <c r="AV495" s="24"/>
      <c r="AW495" s="24"/>
      <c r="AX495" s="24"/>
      <c r="AY495" s="24"/>
      <c r="AZ495" s="24"/>
      <c r="BA495" s="24"/>
      <c r="BB495" s="24"/>
      <c r="BC495" s="24"/>
      <c r="BD495" s="24"/>
      <c r="BE495" s="24"/>
    </row>
    <row r="496" spans="36:57" ht="12.75">
      <c r="AJ496" s="24"/>
      <c r="AK496" s="24"/>
      <c r="AL496" s="24"/>
      <c r="AM496" s="24"/>
      <c r="AN496" s="24"/>
      <c r="AO496" s="24"/>
      <c r="AP496" s="24"/>
      <c r="AQ496" s="24"/>
      <c r="AR496" s="24"/>
      <c r="AS496" s="24"/>
      <c r="AT496" s="24"/>
      <c r="AU496" s="24"/>
      <c r="AV496" s="24"/>
      <c r="AW496" s="24"/>
      <c r="AX496" s="24"/>
      <c r="AY496" s="24"/>
      <c r="AZ496" s="24"/>
      <c r="BA496" s="24"/>
      <c r="BB496" s="24"/>
      <c r="BC496" s="24"/>
      <c r="BD496" s="24"/>
      <c r="BE496" s="24"/>
    </row>
    <row r="497" spans="36:57" ht="12.75">
      <c r="AJ497" s="24"/>
      <c r="AK497" s="24"/>
      <c r="AL497" s="24"/>
      <c r="AM497" s="24"/>
      <c r="AN497" s="24"/>
      <c r="AO497" s="24"/>
      <c r="AP497" s="24"/>
      <c r="AQ497" s="24"/>
      <c r="AR497" s="24"/>
      <c r="AS497" s="24"/>
      <c r="AT497" s="24"/>
      <c r="AU497" s="24"/>
      <c r="AV497" s="24"/>
      <c r="AW497" s="24"/>
      <c r="AX497" s="24"/>
      <c r="AY497" s="24"/>
      <c r="AZ497" s="24"/>
      <c r="BA497" s="24"/>
      <c r="BB497" s="24"/>
      <c r="BC497" s="24"/>
      <c r="BD497" s="24"/>
      <c r="BE497" s="24"/>
    </row>
    <row r="498" spans="36:57" ht="12.75">
      <c r="AJ498" s="24"/>
      <c r="AK498" s="24"/>
      <c r="AL498" s="24"/>
      <c r="AM498" s="24"/>
      <c r="AN498" s="24"/>
      <c r="AO498" s="24"/>
      <c r="AP498" s="24"/>
      <c r="AQ498" s="24"/>
      <c r="AR498" s="24"/>
      <c r="AS498" s="24"/>
      <c r="AT498" s="24"/>
      <c r="AU498" s="24"/>
      <c r="AV498" s="24"/>
      <c r="AW498" s="24"/>
      <c r="AX498" s="24"/>
      <c r="AY498" s="24"/>
      <c r="AZ498" s="24"/>
      <c r="BA498" s="24"/>
      <c r="BB498" s="24"/>
      <c r="BC498" s="24"/>
      <c r="BD498" s="24"/>
      <c r="BE498" s="24"/>
    </row>
    <row r="499" spans="36:57" ht="12.75">
      <c r="AJ499" s="24"/>
      <c r="AK499" s="24"/>
      <c r="AL499" s="24"/>
      <c r="AM499" s="24"/>
      <c r="AN499" s="24"/>
      <c r="AO499" s="24"/>
      <c r="AP499" s="24"/>
      <c r="AQ499" s="24"/>
      <c r="AR499" s="24"/>
      <c r="AS499" s="24"/>
      <c r="AT499" s="24"/>
      <c r="AU499" s="24"/>
      <c r="AV499" s="24"/>
      <c r="AW499" s="24"/>
      <c r="AX499" s="24"/>
      <c r="AY499" s="24"/>
      <c r="AZ499" s="24"/>
      <c r="BA499" s="24"/>
      <c r="BB499" s="24"/>
      <c r="BC499" s="24"/>
      <c r="BD499" s="24"/>
      <c r="BE499" s="24"/>
    </row>
    <row r="500" spans="36:57" ht="12.75">
      <c r="AJ500" s="24"/>
      <c r="AK500" s="24"/>
      <c r="AL500" s="24"/>
      <c r="AM500" s="24"/>
      <c r="AN500" s="24"/>
      <c r="AO500" s="24"/>
      <c r="AP500" s="24"/>
      <c r="AQ500" s="24"/>
      <c r="AR500" s="24"/>
      <c r="AS500" s="24"/>
      <c r="AT500" s="24"/>
      <c r="AU500" s="24"/>
      <c r="AV500" s="24"/>
      <c r="AW500" s="24"/>
      <c r="AX500" s="24"/>
      <c r="AY500" s="24"/>
      <c r="AZ500" s="24"/>
      <c r="BA500" s="24"/>
      <c r="BB500" s="24"/>
      <c r="BC500" s="24"/>
      <c r="BD500" s="24"/>
      <c r="BE500" s="24"/>
    </row>
    <row r="501" spans="36:57" ht="12.75">
      <c r="AJ501" s="24"/>
      <c r="AK501" s="24"/>
      <c r="AL501" s="24"/>
      <c r="AM501" s="24"/>
      <c r="AN501" s="24"/>
      <c r="AO501" s="24"/>
      <c r="AP501" s="24"/>
      <c r="AQ501" s="24"/>
      <c r="AR501" s="24"/>
      <c r="AS501" s="24"/>
      <c r="AT501" s="24"/>
      <c r="AU501" s="24"/>
      <c r="AV501" s="24"/>
      <c r="AW501" s="24"/>
      <c r="AX501" s="24"/>
      <c r="AY501" s="24"/>
      <c r="AZ501" s="24"/>
      <c r="BA501" s="24"/>
      <c r="BB501" s="24"/>
      <c r="BC501" s="24"/>
      <c r="BD501" s="24"/>
      <c r="BE501" s="24"/>
    </row>
    <row r="502" spans="36:57" ht="12.75">
      <c r="AJ502" s="24"/>
      <c r="AK502" s="24"/>
      <c r="AL502" s="24"/>
      <c r="AM502" s="24"/>
      <c r="AN502" s="24"/>
      <c r="AO502" s="24"/>
      <c r="AP502" s="24"/>
      <c r="AQ502" s="24"/>
      <c r="AR502" s="24"/>
      <c r="AS502" s="24"/>
      <c r="AT502" s="24"/>
      <c r="AU502" s="24"/>
      <c r="AV502" s="24"/>
      <c r="AW502" s="24"/>
      <c r="AX502" s="24"/>
      <c r="AY502" s="24"/>
      <c r="AZ502" s="24"/>
      <c r="BA502" s="24"/>
      <c r="BB502" s="24"/>
      <c r="BC502" s="24"/>
      <c r="BD502" s="24"/>
      <c r="BE502" s="24"/>
    </row>
    <row r="503" spans="36:57" ht="12.75">
      <c r="AJ503" s="24"/>
      <c r="AK503" s="24"/>
      <c r="AL503" s="24"/>
      <c r="AM503" s="24"/>
      <c r="AN503" s="24"/>
      <c r="AO503" s="24"/>
      <c r="AP503" s="24"/>
      <c r="AQ503" s="24"/>
      <c r="AR503" s="24"/>
      <c r="AS503" s="24"/>
      <c r="AT503" s="24"/>
      <c r="AU503" s="24"/>
      <c r="AV503" s="24"/>
      <c r="AW503" s="24"/>
      <c r="AX503" s="24"/>
      <c r="AY503" s="24"/>
      <c r="AZ503" s="24"/>
      <c r="BA503" s="24"/>
      <c r="BB503" s="24"/>
      <c r="BC503" s="24"/>
      <c r="BD503" s="24"/>
      <c r="BE503" s="24"/>
    </row>
    <row r="504" spans="36:57" ht="12.75">
      <c r="AJ504" s="24"/>
      <c r="AK504" s="24"/>
      <c r="AL504" s="24"/>
      <c r="AM504" s="24"/>
      <c r="AN504" s="24"/>
      <c r="AO504" s="24"/>
      <c r="AP504" s="24"/>
      <c r="AQ504" s="24"/>
      <c r="AR504" s="24"/>
      <c r="AS504" s="24"/>
      <c r="AT504" s="24"/>
      <c r="AU504" s="24"/>
      <c r="AV504" s="24"/>
      <c r="AW504" s="24"/>
      <c r="AX504" s="24"/>
      <c r="AY504" s="24"/>
      <c r="AZ504" s="24"/>
      <c r="BA504" s="24"/>
      <c r="BB504" s="24"/>
      <c r="BC504" s="24"/>
      <c r="BD504" s="24"/>
      <c r="BE504" s="24"/>
    </row>
    <row r="505" spans="36:57" ht="12.75">
      <c r="AJ505" s="24"/>
      <c r="AK505" s="24"/>
      <c r="AL505" s="24"/>
      <c r="AM505" s="24"/>
      <c r="AN505" s="24"/>
      <c r="AO505" s="24"/>
      <c r="AP505" s="24"/>
      <c r="AQ505" s="24"/>
      <c r="AR505" s="24"/>
      <c r="AS505" s="24"/>
      <c r="AT505" s="24"/>
      <c r="AU505" s="24"/>
      <c r="AV505" s="24"/>
      <c r="AW505" s="24"/>
      <c r="AX505" s="24"/>
      <c r="AY505" s="24"/>
      <c r="AZ505" s="24"/>
      <c r="BA505" s="24"/>
      <c r="BB505" s="24"/>
      <c r="BC505" s="24"/>
      <c r="BD505" s="24"/>
      <c r="BE505" s="24"/>
    </row>
    <row r="506" spans="36:57" ht="12.75">
      <c r="AJ506" s="24"/>
      <c r="AK506" s="24"/>
      <c r="AL506" s="24"/>
      <c r="AM506" s="24"/>
      <c r="AN506" s="24"/>
      <c r="AO506" s="24"/>
      <c r="AP506" s="24"/>
      <c r="AQ506" s="24"/>
      <c r="AR506" s="24"/>
      <c r="AS506" s="24"/>
      <c r="AT506" s="24"/>
      <c r="AU506" s="24"/>
      <c r="AV506" s="24"/>
      <c r="AW506" s="24"/>
      <c r="AX506" s="24"/>
      <c r="AY506" s="24"/>
      <c r="AZ506" s="24"/>
      <c r="BA506" s="24"/>
      <c r="BB506" s="24"/>
      <c r="BC506" s="24"/>
      <c r="BD506" s="24"/>
      <c r="BE506" s="24"/>
    </row>
    <row r="507" spans="36:57" ht="12.75">
      <c r="AJ507" s="24"/>
      <c r="AK507" s="24"/>
      <c r="AL507" s="24"/>
      <c r="AM507" s="24"/>
      <c r="AN507" s="24"/>
      <c r="AO507" s="24"/>
      <c r="AP507" s="24"/>
      <c r="AQ507" s="24"/>
      <c r="AR507" s="24"/>
      <c r="AS507" s="24"/>
      <c r="AT507" s="24"/>
      <c r="AU507" s="24"/>
      <c r="AV507" s="24"/>
      <c r="AW507" s="24"/>
      <c r="AX507" s="24"/>
      <c r="AY507" s="24"/>
      <c r="AZ507" s="24"/>
      <c r="BA507" s="24"/>
      <c r="BB507" s="24"/>
      <c r="BC507" s="24"/>
      <c r="BD507" s="24"/>
      <c r="BE507" s="24"/>
    </row>
    <row r="508" spans="36:57" ht="12.75">
      <c r="AJ508" s="24"/>
      <c r="AK508" s="24"/>
      <c r="AL508" s="24"/>
      <c r="AM508" s="24"/>
      <c r="AN508" s="24"/>
      <c r="AO508" s="24"/>
      <c r="AP508" s="24"/>
      <c r="AQ508" s="24"/>
      <c r="AR508" s="24"/>
      <c r="AS508" s="24"/>
      <c r="AT508" s="24"/>
      <c r="AU508" s="24"/>
      <c r="AV508" s="24"/>
      <c r="AW508" s="24"/>
      <c r="AX508" s="24"/>
      <c r="AY508" s="24"/>
      <c r="AZ508" s="24"/>
      <c r="BA508" s="24"/>
      <c r="BB508" s="24"/>
      <c r="BC508" s="24"/>
      <c r="BD508" s="24"/>
      <c r="BE508" s="24"/>
    </row>
    <row r="509" spans="36:57" ht="12.75">
      <c r="AJ509" s="24"/>
      <c r="AK509" s="24"/>
      <c r="AL509" s="24"/>
      <c r="AM509" s="24"/>
      <c r="AN509" s="24"/>
      <c r="AO509" s="24"/>
      <c r="AP509" s="24"/>
      <c r="AQ509" s="24"/>
      <c r="AR509" s="24"/>
      <c r="AS509" s="24"/>
      <c r="AT509" s="24"/>
      <c r="AU509" s="24"/>
      <c r="AV509" s="24"/>
      <c r="AW509" s="24"/>
      <c r="AX509" s="24"/>
      <c r="AY509" s="24"/>
      <c r="AZ509" s="24"/>
      <c r="BA509" s="24"/>
      <c r="BB509" s="24"/>
      <c r="BC509" s="24"/>
      <c r="BD509" s="24"/>
      <c r="BE509" s="24"/>
    </row>
    <row r="510" spans="36:57" ht="12.75">
      <c r="AJ510" s="24"/>
      <c r="AK510" s="24"/>
      <c r="AL510" s="24"/>
      <c r="AM510" s="24"/>
      <c r="AN510" s="24"/>
      <c r="AO510" s="24"/>
      <c r="AP510" s="24"/>
      <c r="AQ510" s="24"/>
      <c r="AR510" s="24"/>
      <c r="AS510" s="24"/>
      <c r="AT510" s="24"/>
      <c r="AU510" s="24"/>
      <c r="AV510" s="24"/>
      <c r="AW510" s="24"/>
      <c r="AX510" s="24"/>
      <c r="AY510" s="24"/>
      <c r="AZ510" s="24"/>
      <c r="BA510" s="24"/>
      <c r="BB510" s="24"/>
      <c r="BC510" s="24"/>
      <c r="BD510" s="24"/>
      <c r="BE510" s="24"/>
    </row>
    <row r="511" spans="36:57" ht="12.75">
      <c r="AJ511" s="24"/>
      <c r="AK511" s="24"/>
      <c r="AL511" s="24"/>
      <c r="AM511" s="24"/>
      <c r="AN511" s="24"/>
      <c r="AO511" s="24"/>
      <c r="AP511" s="24"/>
      <c r="AQ511" s="24"/>
      <c r="AR511" s="24"/>
      <c r="AS511" s="24"/>
      <c r="AT511" s="24"/>
      <c r="AU511" s="24"/>
      <c r="AV511" s="24"/>
      <c r="AW511" s="24"/>
      <c r="AX511" s="24"/>
      <c r="AY511" s="24"/>
      <c r="AZ511" s="24"/>
      <c r="BA511" s="24"/>
      <c r="BB511" s="24"/>
      <c r="BC511" s="24"/>
      <c r="BD511" s="24"/>
      <c r="BE511" s="24"/>
    </row>
    <row r="512" spans="36:57" ht="12.75">
      <c r="AJ512" s="24"/>
      <c r="AK512" s="24"/>
      <c r="AL512" s="24"/>
      <c r="AM512" s="24"/>
      <c r="AN512" s="24"/>
      <c r="AO512" s="24"/>
      <c r="AP512" s="24"/>
      <c r="AQ512" s="24"/>
      <c r="AR512" s="24"/>
      <c r="AS512" s="24"/>
      <c r="AT512" s="24"/>
      <c r="AU512" s="24"/>
      <c r="AV512" s="24"/>
      <c r="AW512" s="24"/>
      <c r="AX512" s="24"/>
      <c r="AY512" s="24"/>
      <c r="AZ512" s="24"/>
      <c r="BA512" s="24"/>
      <c r="BB512" s="24"/>
      <c r="BC512" s="24"/>
      <c r="BD512" s="24"/>
      <c r="BE512" s="24"/>
    </row>
    <row r="513" spans="36:57" ht="12.75">
      <c r="AJ513" s="24"/>
      <c r="AK513" s="24"/>
      <c r="AL513" s="24"/>
      <c r="AM513" s="24"/>
      <c r="AN513" s="24"/>
      <c r="AO513" s="24"/>
      <c r="AP513" s="24"/>
      <c r="AQ513" s="24"/>
      <c r="AR513" s="24"/>
      <c r="AS513" s="24"/>
      <c r="AT513" s="24"/>
      <c r="AU513" s="24"/>
      <c r="AV513" s="24"/>
      <c r="AW513" s="24"/>
      <c r="AX513" s="24"/>
      <c r="AY513" s="24"/>
      <c r="AZ513" s="24"/>
      <c r="BA513" s="24"/>
      <c r="BB513" s="24"/>
      <c r="BC513" s="24"/>
      <c r="BD513" s="24"/>
      <c r="BE513" s="24"/>
    </row>
    <row r="514" spans="36:57" ht="12.75">
      <c r="AJ514" s="24"/>
      <c r="AK514" s="24"/>
      <c r="AL514" s="24"/>
      <c r="AM514" s="24"/>
      <c r="AN514" s="24"/>
      <c r="AO514" s="24"/>
      <c r="AP514" s="24"/>
      <c r="AQ514" s="24"/>
      <c r="AR514" s="24"/>
      <c r="AS514" s="24"/>
      <c r="AT514" s="24"/>
      <c r="AU514" s="24"/>
      <c r="AV514" s="24"/>
      <c r="AW514" s="24"/>
      <c r="AX514" s="24"/>
      <c r="AY514" s="24"/>
      <c r="AZ514" s="24"/>
      <c r="BA514" s="24"/>
      <c r="BB514" s="24"/>
      <c r="BC514" s="24"/>
      <c r="BD514" s="24"/>
      <c r="BE514" s="24"/>
    </row>
    <row r="515" spans="36:57" ht="12.75">
      <c r="AJ515" s="24"/>
      <c r="AK515" s="24"/>
      <c r="AL515" s="24"/>
      <c r="AM515" s="24"/>
      <c r="AN515" s="24"/>
      <c r="AO515" s="24"/>
      <c r="AP515" s="24"/>
      <c r="AQ515" s="24"/>
      <c r="AR515" s="24"/>
      <c r="AS515" s="24"/>
      <c r="AT515" s="24"/>
      <c r="AU515" s="24"/>
      <c r="AV515" s="24"/>
      <c r="AW515" s="24"/>
      <c r="AX515" s="24"/>
      <c r="AY515" s="24"/>
      <c r="AZ515" s="24"/>
      <c r="BA515" s="24"/>
      <c r="BB515" s="24"/>
      <c r="BC515" s="24"/>
      <c r="BD515" s="24"/>
      <c r="BE515" s="24"/>
    </row>
    <row r="516" spans="36:57" ht="12.75">
      <c r="AJ516" s="24"/>
      <c r="AK516" s="24"/>
      <c r="AL516" s="24"/>
      <c r="AM516" s="24"/>
      <c r="AN516" s="24"/>
      <c r="AO516" s="24"/>
      <c r="AP516" s="24"/>
      <c r="AQ516" s="24"/>
      <c r="AR516" s="24"/>
      <c r="AS516" s="24"/>
      <c r="AT516" s="24"/>
      <c r="AU516" s="24"/>
      <c r="AV516" s="24"/>
      <c r="AW516" s="24"/>
      <c r="AX516" s="24"/>
      <c r="AY516" s="24"/>
      <c r="AZ516" s="24"/>
      <c r="BA516" s="24"/>
      <c r="BB516" s="24"/>
      <c r="BC516" s="24"/>
      <c r="BD516" s="24"/>
      <c r="BE516" s="24"/>
    </row>
    <row r="517" spans="36:57" ht="12.75">
      <c r="AJ517" s="24"/>
      <c r="AK517" s="24"/>
      <c r="AL517" s="24"/>
      <c r="AM517" s="24"/>
      <c r="AN517" s="24"/>
      <c r="AO517" s="24"/>
      <c r="AP517" s="24"/>
      <c r="AQ517" s="24"/>
      <c r="AR517" s="24"/>
      <c r="AS517" s="24"/>
      <c r="AT517" s="24"/>
      <c r="AU517" s="24"/>
      <c r="AV517" s="24"/>
      <c r="AW517" s="24"/>
      <c r="AX517" s="24"/>
      <c r="AY517" s="24"/>
      <c r="AZ517" s="24"/>
      <c r="BA517" s="24"/>
      <c r="BB517" s="24"/>
      <c r="BC517" s="24"/>
      <c r="BD517" s="24"/>
      <c r="BE517" s="24"/>
    </row>
    <row r="518" spans="36:57" ht="12.75">
      <c r="AJ518" s="24"/>
      <c r="AK518" s="24"/>
      <c r="AL518" s="24"/>
      <c r="AM518" s="24"/>
      <c r="AN518" s="24"/>
      <c r="AO518" s="24"/>
      <c r="AP518" s="24"/>
      <c r="AQ518" s="24"/>
      <c r="AR518" s="24"/>
      <c r="AS518" s="24"/>
      <c r="AT518" s="24"/>
      <c r="AU518" s="24"/>
      <c r="AV518" s="24"/>
      <c r="AW518" s="24"/>
      <c r="AX518" s="24"/>
      <c r="AY518" s="24"/>
      <c r="AZ518" s="24"/>
      <c r="BA518" s="24"/>
      <c r="BB518" s="24"/>
      <c r="BC518" s="24"/>
      <c r="BD518" s="24"/>
      <c r="BE518" s="24"/>
    </row>
    <row r="519" spans="36:57" ht="12.75">
      <c r="AJ519" s="24"/>
      <c r="AK519" s="24"/>
      <c r="AL519" s="24"/>
      <c r="AM519" s="24"/>
      <c r="AN519" s="24"/>
      <c r="AO519" s="24"/>
      <c r="AP519" s="24"/>
      <c r="AQ519" s="24"/>
      <c r="AR519" s="24"/>
      <c r="AS519" s="24"/>
      <c r="AT519" s="24"/>
      <c r="AU519" s="24"/>
      <c r="AV519" s="24"/>
      <c r="AW519" s="24"/>
      <c r="AX519" s="24"/>
      <c r="AY519" s="24"/>
      <c r="AZ519" s="24"/>
      <c r="BA519" s="24"/>
      <c r="BB519" s="24"/>
      <c r="BC519" s="24"/>
      <c r="BD519" s="24"/>
      <c r="BE519" s="24"/>
    </row>
    <row r="520" spans="36:57" ht="12.75">
      <c r="AJ520" s="24"/>
      <c r="AK520" s="24"/>
      <c r="AL520" s="24"/>
      <c r="AM520" s="24"/>
      <c r="AN520" s="24"/>
      <c r="AO520" s="24"/>
      <c r="AP520" s="24"/>
      <c r="AQ520" s="24"/>
      <c r="AR520" s="24"/>
      <c r="AS520" s="24"/>
      <c r="AT520" s="24"/>
      <c r="AU520" s="24"/>
      <c r="AV520" s="24"/>
      <c r="AW520" s="24"/>
      <c r="AX520" s="24"/>
      <c r="AY520" s="24"/>
      <c r="AZ520" s="24"/>
      <c r="BA520" s="24"/>
      <c r="BB520" s="24"/>
      <c r="BC520" s="24"/>
      <c r="BD520" s="24"/>
      <c r="BE520" s="24"/>
    </row>
    <row r="521" spans="36:57" ht="12.75">
      <c r="AJ521" s="24"/>
      <c r="AK521" s="24"/>
      <c r="AL521" s="24"/>
      <c r="AM521" s="24"/>
      <c r="AN521" s="24"/>
      <c r="AO521" s="24"/>
      <c r="AP521" s="24"/>
      <c r="AQ521" s="24"/>
      <c r="AR521" s="24"/>
      <c r="AS521" s="24"/>
      <c r="AT521" s="24"/>
      <c r="AU521" s="24"/>
      <c r="AV521" s="24"/>
      <c r="AW521" s="24"/>
      <c r="AX521" s="24"/>
      <c r="AY521" s="24"/>
      <c r="AZ521" s="24"/>
      <c r="BA521" s="24"/>
      <c r="BB521" s="24"/>
      <c r="BC521" s="24"/>
      <c r="BD521" s="24"/>
      <c r="BE521" s="24"/>
    </row>
    <row r="522" spans="36:57" ht="12.75">
      <c r="AJ522" s="24"/>
      <c r="AK522" s="24"/>
      <c r="AL522" s="24"/>
      <c r="AM522" s="24"/>
      <c r="AN522" s="24"/>
      <c r="AO522" s="24"/>
      <c r="AP522" s="24"/>
      <c r="AQ522" s="24"/>
      <c r="AR522" s="24"/>
      <c r="AS522" s="24"/>
      <c r="AT522" s="24"/>
      <c r="AU522" s="24"/>
      <c r="AV522" s="24"/>
      <c r="AW522" s="24"/>
      <c r="AX522" s="24"/>
      <c r="AY522" s="24"/>
      <c r="AZ522" s="24"/>
      <c r="BA522" s="24"/>
      <c r="BB522" s="24"/>
      <c r="BC522" s="24"/>
      <c r="BD522" s="24"/>
      <c r="BE522" s="24"/>
    </row>
    <row r="523" spans="36:57" ht="12.75">
      <c r="AJ523" s="24"/>
      <c r="AK523" s="24"/>
      <c r="AL523" s="24"/>
      <c r="AM523" s="24"/>
      <c r="AN523" s="24"/>
      <c r="AO523" s="24"/>
      <c r="AP523" s="24"/>
      <c r="AQ523" s="24"/>
      <c r="AR523" s="24"/>
      <c r="AS523" s="24"/>
      <c r="AT523" s="24"/>
      <c r="AU523" s="24"/>
      <c r="AV523" s="24"/>
      <c r="AW523" s="24"/>
      <c r="AX523" s="24"/>
      <c r="AY523" s="24"/>
      <c r="AZ523" s="24"/>
      <c r="BA523" s="24"/>
      <c r="BB523" s="24"/>
      <c r="BC523" s="24"/>
      <c r="BD523" s="24"/>
      <c r="BE523" s="24"/>
    </row>
    <row r="524" spans="36:57" ht="12.75">
      <c r="AJ524" s="24"/>
      <c r="AK524" s="24"/>
      <c r="AL524" s="24"/>
      <c r="AM524" s="24"/>
      <c r="AN524" s="24"/>
      <c r="AO524" s="24"/>
      <c r="AP524" s="24"/>
      <c r="AQ524" s="24"/>
      <c r="AR524" s="24"/>
      <c r="AS524" s="24"/>
      <c r="AT524" s="24"/>
      <c r="AU524" s="24"/>
      <c r="AV524" s="24"/>
      <c r="AW524" s="24"/>
      <c r="AX524" s="24"/>
      <c r="AY524" s="24"/>
      <c r="AZ524" s="24"/>
      <c r="BA524" s="24"/>
      <c r="BB524" s="24"/>
      <c r="BC524" s="24"/>
      <c r="BD524" s="24"/>
      <c r="BE524" s="24"/>
    </row>
    <row r="525" spans="36:57" ht="12.75">
      <c r="AJ525" s="24"/>
      <c r="AK525" s="24"/>
      <c r="AL525" s="24"/>
      <c r="AM525" s="24"/>
      <c r="AN525" s="24"/>
      <c r="AO525" s="24"/>
      <c r="AP525" s="24"/>
      <c r="AQ525" s="24"/>
      <c r="AR525" s="24"/>
      <c r="AS525" s="24"/>
      <c r="AT525" s="24"/>
      <c r="AU525" s="24"/>
      <c r="AV525" s="24"/>
      <c r="AW525" s="24"/>
      <c r="AX525" s="24"/>
      <c r="AY525" s="24"/>
      <c r="AZ525" s="24"/>
      <c r="BA525" s="24"/>
      <c r="BB525" s="24"/>
      <c r="BC525" s="24"/>
      <c r="BD525" s="24"/>
      <c r="BE525" s="24"/>
    </row>
    <row r="526" spans="36:57" ht="12.75">
      <c r="AJ526" s="24"/>
      <c r="AK526" s="24"/>
      <c r="AL526" s="24"/>
      <c r="AM526" s="24"/>
      <c r="AN526" s="24"/>
      <c r="AO526" s="24"/>
      <c r="AP526" s="24"/>
      <c r="AQ526" s="24"/>
      <c r="AR526" s="24"/>
      <c r="AS526" s="24"/>
      <c r="AT526" s="24"/>
      <c r="AU526" s="24"/>
      <c r="AV526" s="24"/>
      <c r="AW526" s="24"/>
      <c r="AX526" s="24"/>
      <c r="AY526" s="24"/>
      <c r="AZ526" s="24"/>
      <c r="BA526" s="24"/>
      <c r="BB526" s="24"/>
      <c r="BC526" s="24"/>
      <c r="BD526" s="24"/>
      <c r="BE526" s="24"/>
    </row>
    <row r="527" spans="36:57" ht="12.75">
      <c r="AJ527" s="24"/>
      <c r="AK527" s="24"/>
      <c r="AL527" s="24"/>
      <c r="AM527" s="24"/>
      <c r="AN527" s="24"/>
      <c r="AO527" s="24"/>
      <c r="AP527" s="24"/>
      <c r="AQ527" s="24"/>
      <c r="AR527" s="24"/>
      <c r="AS527" s="24"/>
      <c r="AT527" s="24"/>
      <c r="AU527" s="24"/>
      <c r="AV527" s="24"/>
      <c r="AW527" s="24"/>
      <c r="AX527" s="24"/>
      <c r="AY527" s="24"/>
      <c r="AZ527" s="24"/>
      <c r="BA527" s="24"/>
      <c r="BB527" s="24"/>
      <c r="BC527" s="24"/>
      <c r="BD527" s="24"/>
      <c r="BE527" s="24"/>
    </row>
    <row r="528" spans="36:57" ht="12.75">
      <c r="AJ528" s="24"/>
      <c r="AK528" s="24"/>
      <c r="AL528" s="24"/>
      <c r="AM528" s="24"/>
      <c r="AN528" s="24"/>
      <c r="AO528" s="24"/>
      <c r="AP528" s="24"/>
      <c r="AQ528" s="24"/>
      <c r="AR528" s="24"/>
      <c r="AS528" s="24"/>
      <c r="AT528" s="24"/>
      <c r="AU528" s="24"/>
      <c r="AV528" s="24"/>
      <c r="AW528" s="24"/>
      <c r="AX528" s="24"/>
      <c r="AY528" s="24"/>
      <c r="AZ528" s="24"/>
      <c r="BA528" s="24"/>
      <c r="BB528" s="24"/>
      <c r="BC528" s="24"/>
      <c r="BD528" s="24"/>
      <c r="BE528" s="24"/>
    </row>
    <row r="529" spans="36:57" ht="12.75">
      <c r="AJ529" s="24"/>
      <c r="AK529" s="24"/>
      <c r="AL529" s="24"/>
      <c r="AM529" s="24"/>
      <c r="AN529" s="24"/>
      <c r="AO529" s="24"/>
      <c r="AP529" s="24"/>
      <c r="AQ529" s="24"/>
      <c r="AR529" s="24"/>
      <c r="AS529" s="24"/>
      <c r="AT529" s="24"/>
      <c r="AU529" s="24"/>
      <c r="AV529" s="24"/>
      <c r="AW529" s="24"/>
      <c r="AX529" s="24"/>
      <c r="AY529" s="24"/>
      <c r="AZ529" s="24"/>
      <c r="BA529" s="24"/>
      <c r="BB529" s="24"/>
      <c r="BC529" s="24"/>
      <c r="BD529" s="24"/>
      <c r="BE529" s="24"/>
    </row>
    <row r="530" spans="36:57" ht="12.75">
      <c r="AJ530" s="24"/>
      <c r="AK530" s="24"/>
      <c r="AL530" s="24"/>
      <c r="AM530" s="24"/>
      <c r="AN530" s="24"/>
      <c r="AO530" s="24"/>
      <c r="AP530" s="24"/>
      <c r="AQ530" s="24"/>
      <c r="AR530" s="24"/>
      <c r="AS530" s="24"/>
      <c r="AT530" s="24"/>
      <c r="AU530" s="24"/>
      <c r="AV530" s="24"/>
      <c r="AW530" s="24"/>
      <c r="AX530" s="24"/>
      <c r="AY530" s="24"/>
      <c r="AZ530" s="24"/>
      <c r="BA530" s="24"/>
      <c r="BB530" s="24"/>
      <c r="BC530" s="24"/>
      <c r="BD530" s="24"/>
      <c r="BE530" s="24"/>
    </row>
    <row r="531" spans="36:57" ht="12.75">
      <c r="AJ531" s="24"/>
      <c r="AK531" s="24"/>
      <c r="AL531" s="24"/>
      <c r="AM531" s="24"/>
      <c r="AN531" s="24"/>
      <c r="AO531" s="24"/>
      <c r="AP531" s="24"/>
      <c r="AQ531" s="24"/>
      <c r="AR531" s="24"/>
      <c r="AS531" s="24"/>
      <c r="AT531" s="24"/>
      <c r="AU531" s="24"/>
      <c r="AV531" s="24"/>
      <c r="AW531" s="24"/>
      <c r="AX531" s="24"/>
      <c r="AY531" s="24"/>
      <c r="AZ531" s="24"/>
      <c r="BA531" s="24"/>
      <c r="BB531" s="24"/>
      <c r="BC531" s="24"/>
      <c r="BD531" s="24"/>
      <c r="BE531" s="24"/>
    </row>
    <row r="532" spans="36:57" ht="12.75">
      <c r="AJ532" s="24"/>
      <c r="AK532" s="24"/>
      <c r="AL532" s="24"/>
      <c r="AM532" s="24"/>
      <c r="AN532" s="24"/>
      <c r="AO532" s="24"/>
      <c r="AP532" s="24"/>
      <c r="AQ532" s="24"/>
      <c r="AR532" s="24"/>
      <c r="AS532" s="24"/>
      <c r="AT532" s="24"/>
      <c r="AU532" s="24"/>
      <c r="AV532" s="24"/>
      <c r="AW532" s="24"/>
      <c r="AX532" s="24"/>
      <c r="AY532" s="24"/>
      <c r="AZ532" s="24"/>
      <c r="BA532" s="24"/>
      <c r="BB532" s="24"/>
      <c r="BC532" s="24"/>
      <c r="BD532" s="24"/>
      <c r="BE532" s="24"/>
    </row>
    <row r="533" spans="36:57" ht="12.75">
      <c r="AJ533" s="24"/>
      <c r="AK533" s="24"/>
      <c r="AL533" s="24"/>
      <c r="AM533" s="24"/>
      <c r="AN533" s="24"/>
      <c r="AO533" s="24"/>
      <c r="AP533" s="24"/>
      <c r="AQ533" s="24"/>
      <c r="AR533" s="24"/>
      <c r="AS533" s="24"/>
      <c r="AT533" s="24"/>
      <c r="AU533" s="24"/>
      <c r="AV533" s="24"/>
      <c r="AW533" s="24"/>
      <c r="AX533" s="24"/>
      <c r="AY533" s="24"/>
      <c r="AZ533" s="24"/>
      <c r="BA533" s="24"/>
      <c r="BB533" s="24"/>
      <c r="BC533" s="24"/>
      <c r="BD533" s="24"/>
      <c r="BE533" s="24"/>
    </row>
    <row r="534" spans="36:57" ht="12.75">
      <c r="AJ534" s="24"/>
      <c r="AK534" s="24"/>
      <c r="AL534" s="24"/>
      <c r="AM534" s="24"/>
      <c r="AN534" s="24"/>
      <c r="AO534" s="24"/>
      <c r="AP534" s="24"/>
      <c r="AQ534" s="24"/>
      <c r="AR534" s="24"/>
      <c r="AS534" s="24"/>
      <c r="AT534" s="24"/>
      <c r="AU534" s="24"/>
      <c r="AV534" s="24"/>
      <c r="AW534" s="24"/>
      <c r="AX534" s="24"/>
      <c r="AY534" s="24"/>
      <c r="AZ534" s="24"/>
      <c r="BA534" s="24"/>
      <c r="BB534" s="24"/>
      <c r="BC534" s="24"/>
      <c r="BD534" s="24"/>
      <c r="BE534" s="24"/>
    </row>
    <row r="535" spans="36:57" ht="12.75">
      <c r="AJ535" s="24"/>
      <c r="AK535" s="24"/>
      <c r="AL535" s="24"/>
      <c r="AM535" s="24"/>
      <c r="AN535" s="24"/>
      <c r="AO535" s="24"/>
      <c r="AP535" s="24"/>
      <c r="AQ535" s="24"/>
      <c r="AR535" s="24"/>
      <c r="AS535" s="24"/>
      <c r="AT535" s="24"/>
      <c r="AU535" s="24"/>
      <c r="AV535" s="24"/>
      <c r="AW535" s="24"/>
      <c r="AX535" s="24"/>
      <c r="AY535" s="24"/>
      <c r="AZ535" s="24"/>
      <c r="BA535" s="24"/>
      <c r="BB535" s="24"/>
      <c r="BC535" s="24"/>
      <c r="BD535" s="24"/>
      <c r="BE535" s="24"/>
    </row>
    <row r="536" spans="36:57" ht="12.75">
      <c r="AJ536" s="24"/>
      <c r="AK536" s="24"/>
      <c r="AL536" s="24"/>
      <c r="AM536" s="24"/>
      <c r="AN536" s="24"/>
      <c r="AO536" s="24"/>
      <c r="AP536" s="24"/>
      <c r="AQ536" s="24"/>
      <c r="AR536" s="24"/>
      <c r="AS536" s="24"/>
      <c r="AT536" s="24"/>
      <c r="AU536" s="24"/>
      <c r="AV536" s="24"/>
      <c r="AW536" s="24"/>
      <c r="AX536" s="24"/>
      <c r="AY536" s="24"/>
      <c r="AZ536" s="24"/>
      <c r="BA536" s="24"/>
      <c r="BB536" s="24"/>
      <c r="BC536" s="24"/>
      <c r="BD536" s="24"/>
      <c r="BE536" s="24"/>
    </row>
    <row r="537" spans="36:57" ht="12.75">
      <c r="AJ537" s="24"/>
      <c r="AK537" s="24"/>
      <c r="AL537" s="24"/>
      <c r="AM537" s="24"/>
      <c r="AN537" s="24"/>
      <c r="AO537" s="24"/>
      <c r="AP537" s="24"/>
      <c r="AQ537" s="24"/>
      <c r="AR537" s="24"/>
      <c r="AS537" s="24"/>
      <c r="AT537" s="24"/>
      <c r="AU537" s="24"/>
      <c r="AV537" s="24"/>
      <c r="AW537" s="24"/>
      <c r="AX537" s="24"/>
      <c r="AY537" s="24"/>
      <c r="AZ537" s="24"/>
      <c r="BA537" s="24"/>
      <c r="BB537" s="24"/>
      <c r="BC537" s="24"/>
      <c r="BD537" s="24"/>
      <c r="BE537" s="24"/>
    </row>
    <row r="538" spans="36:57" ht="12.75">
      <c r="AJ538" s="24"/>
      <c r="AK538" s="24"/>
      <c r="AL538" s="24"/>
      <c r="AM538" s="24"/>
      <c r="AN538" s="24"/>
      <c r="AO538" s="24"/>
      <c r="AP538" s="24"/>
      <c r="AQ538" s="24"/>
      <c r="AR538" s="24"/>
      <c r="AS538" s="24"/>
      <c r="AT538" s="24"/>
      <c r="AU538" s="24"/>
      <c r="AV538" s="24"/>
      <c r="AW538" s="24"/>
      <c r="AX538" s="24"/>
      <c r="AY538" s="24"/>
      <c r="AZ538" s="24"/>
      <c r="BA538" s="24"/>
      <c r="BB538" s="24"/>
      <c r="BC538" s="24"/>
      <c r="BD538" s="24"/>
      <c r="BE538" s="24"/>
    </row>
    <row r="539" spans="36:57" ht="12.75">
      <c r="AJ539" s="24"/>
      <c r="AK539" s="24"/>
      <c r="AL539" s="24"/>
      <c r="AM539" s="24"/>
      <c r="AN539" s="24"/>
      <c r="AO539" s="24"/>
      <c r="AP539" s="24"/>
      <c r="AQ539" s="24"/>
      <c r="AR539" s="24"/>
      <c r="AS539" s="24"/>
      <c r="AT539" s="24"/>
      <c r="AU539" s="24"/>
      <c r="AV539" s="24"/>
      <c r="AW539" s="24"/>
      <c r="AX539" s="24"/>
      <c r="AY539" s="24"/>
      <c r="AZ539" s="24"/>
      <c r="BA539" s="24"/>
      <c r="BB539" s="24"/>
      <c r="BC539" s="24"/>
      <c r="BD539" s="24"/>
      <c r="BE539" s="24"/>
    </row>
    <row r="540" spans="36:57" ht="12.75">
      <c r="AJ540" s="24"/>
      <c r="AK540" s="24"/>
      <c r="AL540" s="24"/>
      <c r="AM540" s="24"/>
      <c r="AN540" s="24"/>
      <c r="AO540" s="24"/>
      <c r="AP540" s="24"/>
      <c r="AQ540" s="24"/>
      <c r="AR540" s="24"/>
      <c r="AS540" s="24"/>
      <c r="AT540" s="24"/>
      <c r="AU540" s="24"/>
      <c r="AV540" s="24"/>
      <c r="AW540" s="24"/>
      <c r="AX540" s="24"/>
      <c r="AY540" s="24"/>
      <c r="AZ540" s="24"/>
      <c r="BA540" s="24"/>
      <c r="BB540" s="24"/>
      <c r="BC540" s="24"/>
      <c r="BD540" s="24"/>
      <c r="BE540" s="24"/>
    </row>
    <row r="541" spans="36:57" ht="12.75">
      <c r="AJ541" s="24"/>
      <c r="AK541" s="24"/>
      <c r="AL541" s="24"/>
      <c r="AM541" s="24"/>
      <c r="AN541" s="24"/>
      <c r="AO541" s="24"/>
      <c r="AP541" s="24"/>
      <c r="AQ541" s="24"/>
      <c r="AR541" s="24"/>
      <c r="AS541" s="24"/>
      <c r="AT541" s="24"/>
      <c r="AU541" s="24"/>
      <c r="AV541" s="24"/>
      <c r="AW541" s="24"/>
      <c r="AX541" s="24"/>
      <c r="AY541" s="24"/>
      <c r="AZ541" s="24"/>
      <c r="BA541" s="24"/>
      <c r="BB541" s="24"/>
      <c r="BC541" s="24"/>
      <c r="BD541" s="24"/>
      <c r="BE541" s="24"/>
    </row>
    <row r="542" spans="36:57" ht="12.75">
      <c r="AJ542" s="24"/>
      <c r="AK542" s="24"/>
      <c r="AL542" s="24"/>
      <c r="AM542" s="24"/>
      <c r="AN542" s="24"/>
      <c r="AO542" s="24"/>
      <c r="AP542" s="24"/>
      <c r="AQ542" s="24"/>
      <c r="AR542" s="24"/>
      <c r="AS542" s="24"/>
      <c r="AT542" s="24"/>
      <c r="AU542" s="24"/>
      <c r="AV542" s="24"/>
      <c r="AW542" s="24"/>
      <c r="AX542" s="24"/>
      <c r="AY542" s="24"/>
      <c r="AZ542" s="24"/>
      <c r="BA542" s="24"/>
      <c r="BB542" s="24"/>
      <c r="BC542" s="24"/>
      <c r="BD542" s="24"/>
      <c r="BE542" s="24"/>
    </row>
    <row r="543" spans="36:57" ht="12.75">
      <c r="AJ543" s="24"/>
      <c r="AK543" s="24"/>
      <c r="AL543" s="24"/>
      <c r="AM543" s="24"/>
      <c r="AN543" s="24"/>
      <c r="AO543" s="24"/>
      <c r="AP543" s="24"/>
      <c r="AQ543" s="24"/>
      <c r="AR543" s="24"/>
      <c r="AS543" s="24"/>
      <c r="AT543" s="24"/>
      <c r="AU543" s="24"/>
      <c r="AV543" s="24"/>
      <c r="AW543" s="24"/>
      <c r="AX543" s="24"/>
      <c r="AY543" s="24"/>
      <c r="AZ543" s="24"/>
      <c r="BA543" s="24"/>
      <c r="BB543" s="24"/>
      <c r="BC543" s="24"/>
      <c r="BD543" s="24"/>
      <c r="BE543" s="24"/>
    </row>
    <row r="544" spans="36:57" ht="12.75">
      <c r="AJ544" s="24"/>
      <c r="AK544" s="24"/>
      <c r="AL544" s="24"/>
      <c r="AM544" s="24"/>
      <c r="AN544" s="24"/>
      <c r="AO544" s="24"/>
      <c r="AP544" s="24"/>
      <c r="AQ544" s="24"/>
      <c r="AR544" s="24"/>
      <c r="AS544" s="24"/>
      <c r="AT544" s="24"/>
      <c r="AU544" s="24"/>
      <c r="AV544" s="24"/>
      <c r="AW544" s="24"/>
      <c r="AX544" s="24"/>
      <c r="AY544" s="24"/>
      <c r="AZ544" s="24"/>
      <c r="BA544" s="24"/>
      <c r="BB544" s="24"/>
      <c r="BC544" s="24"/>
      <c r="BD544" s="24"/>
      <c r="BE544" s="24"/>
    </row>
    <row r="545" spans="36:57" ht="12.75">
      <c r="AJ545" s="24"/>
      <c r="AK545" s="24"/>
      <c r="AL545" s="24"/>
      <c r="AM545" s="24"/>
      <c r="AN545" s="24"/>
      <c r="AO545" s="24"/>
      <c r="AP545" s="24"/>
      <c r="AQ545" s="24"/>
      <c r="AR545" s="24"/>
      <c r="AS545" s="24"/>
      <c r="AT545" s="24"/>
      <c r="AU545" s="24"/>
      <c r="AV545" s="24"/>
      <c r="AW545" s="24"/>
      <c r="AX545" s="24"/>
      <c r="AY545" s="24"/>
      <c r="AZ545" s="24"/>
      <c r="BA545" s="24"/>
      <c r="BB545" s="24"/>
      <c r="BC545" s="24"/>
      <c r="BD545" s="24"/>
      <c r="BE545" s="24"/>
    </row>
    <row r="546" spans="36:57" ht="12.75">
      <c r="AJ546" s="24"/>
      <c r="AK546" s="24"/>
      <c r="AL546" s="24"/>
      <c r="AM546" s="24"/>
      <c r="AN546" s="24"/>
      <c r="AO546" s="24"/>
      <c r="AP546" s="24"/>
      <c r="AQ546" s="24"/>
      <c r="AR546" s="24"/>
      <c r="AS546" s="24"/>
      <c r="AT546" s="24"/>
      <c r="AU546" s="24"/>
      <c r="AV546" s="24"/>
      <c r="AW546" s="24"/>
      <c r="AX546" s="24"/>
      <c r="AY546" s="24"/>
      <c r="AZ546" s="24"/>
      <c r="BA546" s="24"/>
      <c r="BB546" s="24"/>
      <c r="BC546" s="24"/>
      <c r="BD546" s="24"/>
      <c r="BE546" s="24"/>
    </row>
    <row r="547" spans="36:57" ht="12.75">
      <c r="AJ547" s="24"/>
      <c r="AK547" s="24"/>
      <c r="AL547" s="24"/>
      <c r="AM547" s="24"/>
      <c r="AN547" s="24"/>
      <c r="AO547" s="24"/>
      <c r="AP547" s="24"/>
      <c r="AQ547" s="24"/>
      <c r="AR547" s="24"/>
      <c r="AS547" s="24"/>
      <c r="AT547" s="24"/>
      <c r="AU547" s="24"/>
      <c r="AV547" s="24"/>
      <c r="AW547" s="24"/>
      <c r="AX547" s="24"/>
      <c r="AY547" s="24"/>
      <c r="AZ547" s="24"/>
      <c r="BA547" s="24"/>
      <c r="BB547" s="24"/>
      <c r="BC547" s="24"/>
      <c r="BD547" s="24"/>
      <c r="BE547" s="24"/>
    </row>
    <row r="548" spans="36:57" ht="12.75">
      <c r="AJ548" s="24"/>
      <c r="AK548" s="24"/>
      <c r="AL548" s="24"/>
      <c r="AM548" s="24"/>
      <c r="AN548" s="24"/>
      <c r="AO548" s="24"/>
      <c r="AP548" s="24"/>
      <c r="AQ548" s="24"/>
      <c r="AR548" s="24"/>
      <c r="AS548" s="24"/>
      <c r="AT548" s="24"/>
      <c r="AU548" s="24"/>
      <c r="AV548" s="24"/>
      <c r="AW548" s="24"/>
      <c r="AX548" s="24"/>
      <c r="AY548" s="24"/>
      <c r="AZ548" s="24"/>
      <c r="BA548" s="24"/>
      <c r="BB548" s="24"/>
      <c r="BC548" s="24"/>
      <c r="BD548" s="24"/>
      <c r="BE548" s="24"/>
    </row>
    <row r="549" spans="36:57" ht="12.75">
      <c r="AJ549" s="24"/>
      <c r="AK549" s="24"/>
      <c r="AL549" s="24"/>
      <c r="AM549" s="24"/>
      <c r="AN549" s="24"/>
      <c r="AO549" s="24"/>
      <c r="AP549" s="24"/>
      <c r="AQ549" s="24"/>
      <c r="AR549" s="24"/>
      <c r="AS549" s="24"/>
      <c r="AT549" s="24"/>
      <c r="AU549" s="24"/>
      <c r="AV549" s="24"/>
      <c r="AW549" s="24"/>
      <c r="AX549" s="24"/>
      <c r="AY549" s="24"/>
      <c r="AZ549" s="24"/>
      <c r="BA549" s="24"/>
      <c r="BB549" s="24"/>
      <c r="BC549" s="24"/>
      <c r="BD549" s="24"/>
      <c r="BE549" s="24"/>
    </row>
    <row r="550" spans="36:57" ht="12.75">
      <c r="AJ550" s="24"/>
      <c r="AK550" s="24"/>
      <c r="AL550" s="24"/>
      <c r="AM550" s="24"/>
      <c r="AN550" s="24"/>
      <c r="AO550" s="24"/>
      <c r="AP550" s="24"/>
      <c r="AQ550" s="24"/>
      <c r="AR550" s="24"/>
      <c r="AS550" s="24"/>
      <c r="AT550" s="24"/>
      <c r="AU550" s="24"/>
      <c r="AV550" s="24"/>
      <c r="AW550" s="24"/>
      <c r="AX550" s="24"/>
      <c r="AY550" s="24"/>
      <c r="AZ550" s="24"/>
      <c r="BA550" s="24"/>
      <c r="BB550" s="24"/>
      <c r="BC550" s="24"/>
      <c r="BD550" s="24"/>
      <c r="BE550" s="24"/>
    </row>
    <row r="551" spans="36:57" ht="12.75">
      <c r="AJ551" s="24"/>
      <c r="AK551" s="24"/>
      <c r="AL551" s="24"/>
      <c r="AM551" s="24"/>
      <c r="AN551" s="24"/>
      <c r="AO551" s="24"/>
      <c r="AP551" s="24"/>
      <c r="AQ551" s="24"/>
      <c r="AR551" s="24"/>
      <c r="AS551" s="24"/>
      <c r="AT551" s="24"/>
      <c r="AU551" s="24"/>
      <c r="AV551" s="24"/>
      <c r="AW551" s="24"/>
      <c r="AX551" s="24"/>
      <c r="AY551" s="24"/>
      <c r="AZ551" s="24"/>
      <c r="BA551" s="24"/>
      <c r="BB551" s="24"/>
      <c r="BC551" s="24"/>
      <c r="BD551" s="24"/>
      <c r="BE551" s="24"/>
    </row>
    <row r="552" spans="36:57" ht="12.75">
      <c r="AJ552" s="24"/>
      <c r="AK552" s="24"/>
      <c r="AL552" s="24"/>
      <c r="AM552" s="24"/>
      <c r="AN552" s="24"/>
      <c r="AO552" s="24"/>
      <c r="AP552" s="24"/>
      <c r="AQ552" s="24"/>
      <c r="AR552" s="24"/>
      <c r="AS552" s="24"/>
      <c r="AT552" s="24"/>
      <c r="AU552" s="24"/>
      <c r="AV552" s="24"/>
      <c r="AW552" s="24"/>
      <c r="AX552" s="24"/>
      <c r="AY552" s="24"/>
      <c r="AZ552" s="24"/>
      <c r="BA552" s="24"/>
      <c r="BB552" s="24"/>
      <c r="BC552" s="24"/>
      <c r="BD552" s="24"/>
      <c r="BE552" s="24"/>
    </row>
    <row r="553" spans="36:57" ht="12.75">
      <c r="AJ553" s="24"/>
      <c r="AK553" s="24"/>
      <c r="AL553" s="24"/>
      <c r="AM553" s="24"/>
      <c r="AN553" s="24"/>
      <c r="AO553" s="24"/>
      <c r="AP553" s="24"/>
      <c r="AQ553" s="24"/>
      <c r="AR553" s="24"/>
      <c r="AS553" s="24"/>
      <c r="AT553" s="24"/>
      <c r="AU553" s="24"/>
      <c r="AV553" s="24"/>
      <c r="AW553" s="24"/>
      <c r="AX553" s="24"/>
      <c r="AY553" s="24"/>
      <c r="AZ553" s="24"/>
      <c r="BA553" s="24"/>
      <c r="BB553" s="24"/>
      <c r="BC553" s="24"/>
      <c r="BD553" s="24"/>
      <c r="BE553" s="24"/>
    </row>
    <row r="554" spans="36:57" ht="12.75">
      <c r="AJ554" s="24"/>
      <c r="AK554" s="24"/>
      <c r="AL554" s="24"/>
      <c r="AM554" s="24"/>
      <c r="AN554" s="24"/>
      <c r="AO554" s="24"/>
      <c r="AP554" s="24"/>
      <c r="AQ554" s="24"/>
      <c r="AR554" s="24"/>
      <c r="AS554" s="24"/>
      <c r="AT554" s="24"/>
      <c r="AU554" s="24"/>
      <c r="AV554" s="24"/>
      <c r="AW554" s="24"/>
      <c r="AX554" s="24"/>
      <c r="AY554" s="24"/>
      <c r="AZ554" s="24"/>
      <c r="BA554" s="24"/>
      <c r="BB554" s="24"/>
      <c r="BC554" s="24"/>
      <c r="BD554" s="24"/>
      <c r="BE554" s="24"/>
    </row>
    <row r="555" spans="36:57" ht="12.75">
      <c r="AJ555" s="24"/>
      <c r="AK555" s="24"/>
      <c r="AL555" s="24"/>
      <c r="AM555" s="24"/>
      <c r="AN555" s="24"/>
      <c r="AO555" s="24"/>
      <c r="AP555" s="24"/>
      <c r="AQ555" s="24"/>
      <c r="AR555" s="24"/>
      <c r="AS555" s="24"/>
      <c r="AT555" s="24"/>
      <c r="AU555" s="24"/>
      <c r="AV555" s="24"/>
      <c r="AW555" s="24"/>
      <c r="AX555" s="24"/>
      <c r="AY555" s="24"/>
      <c r="AZ555" s="24"/>
      <c r="BA555" s="24"/>
      <c r="BB555" s="24"/>
      <c r="BC555" s="24"/>
      <c r="BD555" s="24"/>
      <c r="BE555" s="24"/>
    </row>
    <row r="556" spans="36:57" ht="12.75">
      <c r="AJ556" s="24"/>
      <c r="AK556" s="24"/>
      <c r="AL556" s="24"/>
      <c r="AM556" s="24"/>
      <c r="AN556" s="24"/>
      <c r="AO556" s="24"/>
      <c r="AP556" s="24"/>
      <c r="AQ556" s="24"/>
      <c r="AR556" s="24"/>
      <c r="AS556" s="24"/>
      <c r="AT556" s="24"/>
      <c r="AU556" s="24"/>
      <c r="AV556" s="24"/>
      <c r="AW556" s="24"/>
      <c r="AX556" s="24"/>
      <c r="AY556" s="24"/>
      <c r="AZ556" s="24"/>
      <c r="BA556" s="24"/>
      <c r="BB556" s="24"/>
      <c r="BC556" s="24"/>
      <c r="BD556" s="24"/>
      <c r="BE556" s="24"/>
    </row>
    <row r="557" spans="36:57" ht="12.75">
      <c r="AJ557" s="24"/>
      <c r="AK557" s="24"/>
      <c r="AL557" s="24"/>
      <c r="AM557" s="24"/>
      <c r="AN557" s="24"/>
      <c r="AO557" s="24"/>
      <c r="AP557" s="24"/>
      <c r="AQ557" s="24"/>
      <c r="AR557" s="24"/>
      <c r="AS557" s="24"/>
      <c r="AT557" s="24"/>
      <c r="AU557" s="24"/>
      <c r="AV557" s="24"/>
      <c r="AW557" s="24"/>
      <c r="AX557" s="24"/>
      <c r="AY557" s="24"/>
      <c r="AZ557" s="24"/>
      <c r="BA557" s="24"/>
      <c r="BB557" s="24"/>
      <c r="BC557" s="24"/>
      <c r="BD557" s="24"/>
      <c r="BE557" s="24"/>
    </row>
    <row r="558" spans="36:57" ht="12.75">
      <c r="AJ558" s="24"/>
      <c r="AK558" s="24"/>
      <c r="AL558" s="24"/>
      <c r="AM558" s="24"/>
      <c r="AN558" s="24"/>
      <c r="AO558" s="24"/>
      <c r="AP558" s="24"/>
      <c r="AQ558" s="24"/>
      <c r="AR558" s="24"/>
      <c r="AS558" s="24"/>
      <c r="AT558" s="24"/>
      <c r="AU558" s="24"/>
      <c r="AV558" s="24"/>
      <c r="AW558" s="24"/>
      <c r="AX558" s="24"/>
      <c r="AY558" s="24"/>
      <c r="AZ558" s="24"/>
      <c r="BA558" s="24"/>
      <c r="BB558" s="24"/>
      <c r="BC558" s="24"/>
      <c r="BD558" s="24"/>
      <c r="BE558" s="24"/>
    </row>
    <row r="559" spans="36:57" ht="12.75">
      <c r="AJ559" s="24"/>
      <c r="AK559" s="24"/>
      <c r="AL559" s="24"/>
      <c r="AM559" s="24"/>
      <c r="AN559" s="24"/>
      <c r="AO559" s="24"/>
      <c r="AP559" s="24"/>
      <c r="AQ559" s="24"/>
      <c r="AR559" s="24"/>
      <c r="AS559" s="24"/>
      <c r="AT559" s="24"/>
      <c r="AU559" s="24"/>
      <c r="AV559" s="24"/>
      <c r="AW559" s="24"/>
      <c r="AX559" s="24"/>
      <c r="AY559" s="24"/>
      <c r="AZ559" s="24"/>
      <c r="BA559" s="24"/>
      <c r="BB559" s="24"/>
      <c r="BC559" s="24"/>
      <c r="BD559" s="24"/>
      <c r="BE559" s="24"/>
    </row>
    <row r="560" spans="36:57" ht="12.75">
      <c r="AJ560" s="24"/>
      <c r="AK560" s="24"/>
      <c r="AL560" s="24"/>
      <c r="AM560" s="24"/>
      <c r="AN560" s="24"/>
      <c r="AO560" s="24"/>
      <c r="AP560" s="24"/>
      <c r="AQ560" s="24"/>
      <c r="AR560" s="24"/>
      <c r="AS560" s="24"/>
      <c r="AT560" s="24"/>
      <c r="AU560" s="24"/>
      <c r="AV560" s="24"/>
      <c r="AW560" s="24"/>
      <c r="AX560" s="24"/>
      <c r="AY560" s="24"/>
      <c r="AZ560" s="24"/>
      <c r="BA560" s="24"/>
      <c r="BB560" s="24"/>
      <c r="BC560" s="24"/>
      <c r="BD560" s="24"/>
      <c r="BE560" s="24"/>
    </row>
    <row r="561" spans="36:57" ht="12.75">
      <c r="AJ561" s="24"/>
      <c r="AK561" s="24"/>
      <c r="AL561" s="24"/>
      <c r="AM561" s="24"/>
      <c r="AN561" s="24"/>
      <c r="AO561" s="24"/>
      <c r="AP561" s="24"/>
      <c r="AQ561" s="24"/>
      <c r="AR561" s="24"/>
      <c r="AS561" s="24"/>
      <c r="AT561" s="24"/>
      <c r="AU561" s="24"/>
      <c r="AV561" s="24"/>
      <c r="AW561" s="24"/>
      <c r="AX561" s="24"/>
      <c r="AY561" s="24"/>
      <c r="AZ561" s="24"/>
      <c r="BA561" s="24"/>
      <c r="BB561" s="24"/>
      <c r="BC561" s="24"/>
      <c r="BD561" s="24"/>
      <c r="BE561" s="24"/>
    </row>
    <row r="562" spans="36:57" ht="12.75">
      <c r="AJ562" s="24"/>
      <c r="AK562" s="24"/>
      <c r="AL562" s="24"/>
      <c r="AM562" s="24"/>
      <c r="AN562" s="24"/>
      <c r="AO562" s="24"/>
      <c r="AP562" s="24"/>
      <c r="AQ562" s="24"/>
      <c r="AR562" s="24"/>
      <c r="AS562" s="24"/>
      <c r="AT562" s="24"/>
      <c r="AU562" s="24"/>
      <c r="AV562" s="24"/>
      <c r="AW562" s="24"/>
      <c r="AX562" s="24"/>
      <c r="AY562" s="24"/>
      <c r="AZ562" s="24"/>
      <c r="BA562" s="24"/>
      <c r="BB562" s="24"/>
      <c r="BC562" s="24"/>
      <c r="BD562" s="24"/>
      <c r="BE562" s="24"/>
    </row>
    <row r="563" spans="36:57" ht="12.75">
      <c r="AJ563" s="24"/>
      <c r="AK563" s="24"/>
      <c r="AL563" s="24"/>
      <c r="AM563" s="24"/>
      <c r="AN563" s="24"/>
      <c r="AO563" s="24"/>
      <c r="AP563" s="24"/>
      <c r="AQ563" s="24"/>
      <c r="AR563" s="24"/>
      <c r="AS563" s="24"/>
      <c r="AT563" s="24"/>
      <c r="AU563" s="24"/>
      <c r="AV563" s="24"/>
      <c r="AW563" s="24"/>
      <c r="AX563" s="24"/>
      <c r="AY563" s="24"/>
      <c r="AZ563" s="24"/>
      <c r="BA563" s="24"/>
      <c r="BB563" s="24"/>
      <c r="BC563" s="24"/>
      <c r="BD563" s="24"/>
      <c r="BE563" s="24"/>
    </row>
    <row r="564" spans="36:57" ht="12.75">
      <c r="AJ564" s="24"/>
      <c r="AK564" s="24"/>
      <c r="AL564" s="24"/>
      <c r="AM564" s="24"/>
      <c r="AN564" s="24"/>
      <c r="AO564" s="24"/>
      <c r="AP564" s="24"/>
      <c r="AQ564" s="24"/>
      <c r="AR564" s="24"/>
      <c r="AS564" s="24"/>
      <c r="AT564" s="24"/>
      <c r="AU564" s="24"/>
      <c r="AV564" s="24"/>
      <c r="AW564" s="24"/>
      <c r="AX564" s="24"/>
      <c r="AY564" s="24"/>
      <c r="AZ564" s="24"/>
      <c r="BA564" s="24"/>
      <c r="BB564" s="24"/>
      <c r="BC564" s="24"/>
      <c r="BD564" s="24"/>
      <c r="BE564" s="24"/>
    </row>
    <row r="565" spans="36:57" ht="12.75">
      <c r="AJ565" s="24"/>
      <c r="AK565" s="24"/>
      <c r="AL565" s="24"/>
      <c r="AM565" s="24"/>
      <c r="AN565" s="24"/>
      <c r="AO565" s="24"/>
      <c r="AP565" s="24"/>
      <c r="AQ565" s="24"/>
      <c r="AR565" s="24"/>
      <c r="AS565" s="24"/>
      <c r="AT565" s="24"/>
      <c r="AU565" s="24"/>
      <c r="AV565" s="24"/>
      <c r="AW565" s="24"/>
      <c r="AX565" s="24"/>
      <c r="AY565" s="24"/>
      <c r="AZ565" s="24"/>
      <c r="BA565" s="24"/>
      <c r="BB565" s="24"/>
      <c r="BC565" s="24"/>
      <c r="BD565" s="24"/>
      <c r="BE565" s="24"/>
    </row>
    <row r="566" spans="36:57" ht="12.75">
      <c r="AJ566" s="24"/>
      <c r="AK566" s="24"/>
      <c r="AL566" s="24"/>
      <c r="AM566" s="24"/>
      <c r="AN566" s="24"/>
      <c r="AO566" s="24"/>
      <c r="AP566" s="24"/>
      <c r="AQ566" s="24"/>
      <c r="AR566" s="24"/>
      <c r="AS566" s="24"/>
      <c r="AT566" s="24"/>
      <c r="AU566" s="24"/>
      <c r="AV566" s="24"/>
      <c r="AW566" s="24"/>
      <c r="AX566" s="24"/>
      <c r="AY566" s="24"/>
      <c r="AZ566" s="24"/>
      <c r="BA566" s="24"/>
      <c r="BB566" s="24"/>
      <c r="BC566" s="24"/>
      <c r="BD566" s="24"/>
      <c r="BE566" s="24"/>
    </row>
    <row r="567" spans="36:57" ht="12.75">
      <c r="AJ567" s="24"/>
      <c r="AK567" s="24"/>
      <c r="AL567" s="24"/>
      <c r="AM567" s="24"/>
      <c r="AN567" s="24"/>
      <c r="AO567" s="24"/>
      <c r="AP567" s="24"/>
      <c r="AQ567" s="24"/>
      <c r="AR567" s="24"/>
      <c r="AS567" s="24"/>
      <c r="AT567" s="24"/>
      <c r="AU567" s="24"/>
      <c r="AV567" s="24"/>
      <c r="AW567" s="24"/>
      <c r="AX567" s="24"/>
      <c r="AY567" s="24"/>
      <c r="AZ567" s="24"/>
      <c r="BA567" s="24"/>
      <c r="BB567" s="24"/>
      <c r="BC567" s="24"/>
      <c r="BD567" s="24"/>
      <c r="BE567" s="24"/>
    </row>
    <row r="568" spans="36:57" ht="12.75">
      <c r="AJ568" s="24"/>
      <c r="AK568" s="24"/>
      <c r="AL568" s="24"/>
      <c r="AM568" s="24"/>
      <c r="AN568" s="24"/>
      <c r="AO568" s="24"/>
      <c r="AP568" s="24"/>
      <c r="AQ568" s="24"/>
      <c r="AR568" s="24"/>
      <c r="AS568" s="24"/>
      <c r="AT568" s="24"/>
      <c r="AU568" s="24"/>
      <c r="AV568" s="24"/>
      <c r="AW568" s="24"/>
      <c r="AX568" s="24"/>
      <c r="AY568" s="24"/>
      <c r="AZ568" s="24"/>
      <c r="BA568" s="24"/>
      <c r="BB568" s="24"/>
      <c r="BC568" s="24"/>
      <c r="BD568" s="24"/>
      <c r="BE568" s="24"/>
    </row>
    <row r="569" spans="36:57" ht="12.75">
      <c r="AJ569" s="24"/>
      <c r="AK569" s="24"/>
      <c r="AL569" s="24"/>
      <c r="AM569" s="24"/>
      <c r="AN569" s="24"/>
      <c r="AO569" s="24"/>
      <c r="AP569" s="24"/>
      <c r="AQ569" s="24"/>
      <c r="AR569" s="24"/>
      <c r="AS569" s="24"/>
      <c r="AT569" s="24"/>
      <c r="AU569" s="24"/>
      <c r="AV569" s="24"/>
      <c r="AW569" s="24"/>
      <c r="AX569" s="24"/>
      <c r="AY569" s="24"/>
      <c r="AZ569" s="24"/>
      <c r="BA569" s="24"/>
      <c r="BB569" s="24"/>
      <c r="BC569" s="24"/>
      <c r="BD569" s="24"/>
      <c r="BE569" s="24"/>
    </row>
    <row r="570" spans="36:57" ht="12.75">
      <c r="AJ570" s="24"/>
      <c r="AK570" s="24"/>
      <c r="AL570" s="24"/>
      <c r="AM570" s="24"/>
      <c r="AN570" s="24"/>
      <c r="AO570" s="24"/>
      <c r="AP570" s="24"/>
      <c r="AQ570" s="24"/>
      <c r="AR570" s="24"/>
      <c r="AS570" s="24"/>
      <c r="AT570" s="24"/>
      <c r="AU570" s="24"/>
      <c r="AV570" s="24"/>
      <c r="AW570" s="24"/>
      <c r="AX570" s="24"/>
      <c r="AY570" s="24"/>
      <c r="AZ570" s="24"/>
      <c r="BA570" s="24"/>
      <c r="BB570" s="24"/>
      <c r="BC570" s="24"/>
      <c r="BD570" s="24"/>
      <c r="BE570" s="24"/>
    </row>
    <row r="571" spans="36:57" ht="12.75">
      <c r="AJ571" s="24"/>
      <c r="AK571" s="24"/>
      <c r="AL571" s="24"/>
      <c r="AM571" s="24"/>
      <c r="AN571" s="24"/>
      <c r="AO571" s="24"/>
      <c r="AP571" s="24"/>
      <c r="AQ571" s="24"/>
      <c r="AR571" s="24"/>
      <c r="AS571" s="24"/>
      <c r="AT571" s="24"/>
      <c r="AU571" s="24"/>
      <c r="AV571" s="24"/>
      <c r="AW571" s="24"/>
      <c r="AX571" s="24"/>
      <c r="AY571" s="24"/>
      <c r="AZ571" s="24"/>
      <c r="BA571" s="24"/>
      <c r="BB571" s="24"/>
      <c r="BC571" s="24"/>
      <c r="BD571" s="24"/>
      <c r="BE571" s="24"/>
    </row>
    <row r="572" spans="36:57" ht="12.75">
      <c r="AJ572" s="24"/>
      <c r="AK572" s="24"/>
      <c r="AL572" s="24"/>
      <c r="AM572" s="24"/>
      <c r="AN572" s="24"/>
      <c r="AO572" s="24"/>
      <c r="AP572" s="24"/>
      <c r="AQ572" s="24"/>
      <c r="AR572" s="24"/>
      <c r="AS572" s="24"/>
      <c r="AT572" s="24"/>
      <c r="AU572" s="24"/>
      <c r="AV572" s="24"/>
      <c r="AW572" s="24"/>
      <c r="AX572" s="24"/>
      <c r="AY572" s="24"/>
      <c r="AZ572" s="24"/>
      <c r="BA572" s="24"/>
      <c r="BB572" s="24"/>
      <c r="BC572" s="24"/>
      <c r="BD572" s="24"/>
      <c r="BE572" s="24"/>
    </row>
    <row r="573" spans="36:57" ht="12.75">
      <c r="AJ573" s="24"/>
      <c r="AK573" s="24"/>
      <c r="AL573" s="24"/>
      <c r="AM573" s="24"/>
      <c r="AN573" s="24"/>
      <c r="AO573" s="24"/>
      <c r="AP573" s="24"/>
      <c r="AQ573" s="24"/>
      <c r="AR573" s="24"/>
      <c r="AS573" s="24"/>
      <c r="AT573" s="24"/>
      <c r="AU573" s="24"/>
      <c r="AV573" s="24"/>
      <c r="AW573" s="24"/>
      <c r="AX573" s="24"/>
      <c r="AY573" s="24"/>
      <c r="AZ573" s="24"/>
      <c r="BA573" s="24"/>
      <c r="BB573" s="24"/>
      <c r="BC573" s="24"/>
      <c r="BD573" s="24"/>
      <c r="BE573" s="24"/>
    </row>
    <row r="574" spans="36:57" ht="12.75">
      <c r="AJ574" s="24"/>
      <c r="AK574" s="24"/>
      <c r="AL574" s="24"/>
      <c r="AM574" s="24"/>
      <c r="AN574" s="24"/>
      <c r="AO574" s="24"/>
      <c r="AP574" s="24"/>
      <c r="AQ574" s="24"/>
      <c r="AR574" s="24"/>
      <c r="AS574" s="24"/>
      <c r="AT574" s="24"/>
      <c r="AU574" s="24"/>
      <c r="AV574" s="24"/>
      <c r="AW574" s="24"/>
      <c r="AX574" s="24"/>
      <c r="AY574" s="24"/>
      <c r="AZ574" s="24"/>
      <c r="BA574" s="24"/>
      <c r="BB574" s="24"/>
      <c r="BC574" s="24"/>
      <c r="BD574" s="24"/>
      <c r="BE574" s="24"/>
    </row>
    <row r="575" spans="36:57" ht="12.75">
      <c r="AJ575" s="24"/>
      <c r="AK575" s="24"/>
      <c r="AL575" s="24"/>
      <c r="AM575" s="24"/>
      <c r="AN575" s="24"/>
      <c r="AO575" s="24"/>
      <c r="AP575" s="24"/>
      <c r="AQ575" s="24"/>
      <c r="AR575" s="24"/>
      <c r="AS575" s="24"/>
      <c r="AT575" s="24"/>
      <c r="AU575" s="24"/>
      <c r="AV575" s="24"/>
      <c r="AW575" s="24"/>
      <c r="AX575" s="24"/>
      <c r="AY575" s="24"/>
      <c r="AZ575" s="24"/>
      <c r="BA575" s="24"/>
      <c r="BB575" s="24"/>
      <c r="BC575" s="24"/>
      <c r="BD575" s="24"/>
      <c r="BE575" s="24"/>
    </row>
    <row r="576" spans="36:57" ht="12.75">
      <c r="AJ576" s="24"/>
      <c r="AK576" s="24"/>
      <c r="AL576" s="24"/>
      <c r="AM576" s="24"/>
      <c r="AN576" s="24"/>
      <c r="AO576" s="24"/>
      <c r="AP576" s="24"/>
      <c r="AQ576" s="24"/>
      <c r="AR576" s="24"/>
      <c r="AS576" s="24"/>
      <c r="AT576" s="24"/>
      <c r="AU576" s="24"/>
      <c r="AV576" s="24"/>
      <c r="AW576" s="24"/>
      <c r="AX576" s="24"/>
      <c r="AY576" s="24"/>
      <c r="AZ576" s="24"/>
      <c r="BA576" s="24"/>
      <c r="BB576" s="24"/>
      <c r="BC576" s="24"/>
      <c r="BD576" s="24"/>
      <c r="BE576" s="24"/>
    </row>
    <row r="577" spans="36:57" ht="12.75">
      <c r="AJ577" s="24"/>
      <c r="AK577" s="24"/>
      <c r="AL577" s="24"/>
      <c r="AM577" s="24"/>
      <c r="AN577" s="24"/>
      <c r="AO577" s="24"/>
      <c r="AP577" s="24"/>
      <c r="AQ577" s="24"/>
      <c r="AR577" s="24"/>
      <c r="AS577" s="24"/>
      <c r="AT577" s="24"/>
      <c r="AU577" s="24"/>
      <c r="AV577" s="24"/>
      <c r="AW577" s="24"/>
      <c r="AX577" s="24"/>
      <c r="AY577" s="24"/>
      <c r="AZ577" s="24"/>
      <c r="BA577" s="24"/>
      <c r="BB577" s="24"/>
      <c r="BC577" s="24"/>
      <c r="BD577" s="24"/>
      <c r="BE577" s="24"/>
    </row>
    <row r="578" spans="36:57" ht="12.75">
      <c r="AJ578" s="24"/>
      <c r="AK578" s="24"/>
      <c r="AL578" s="24"/>
      <c r="AM578" s="24"/>
      <c r="AN578" s="24"/>
      <c r="AO578" s="24"/>
      <c r="AP578" s="24"/>
      <c r="AQ578" s="24"/>
      <c r="AR578" s="24"/>
      <c r="AS578" s="24"/>
      <c r="AT578" s="24"/>
      <c r="AU578" s="24"/>
      <c r="AV578" s="24"/>
      <c r="AW578" s="24"/>
      <c r="AX578" s="24"/>
      <c r="AY578" s="24"/>
      <c r="AZ578" s="24"/>
      <c r="BA578" s="24"/>
      <c r="BB578" s="24"/>
      <c r="BC578" s="24"/>
      <c r="BD578" s="24"/>
      <c r="BE578" s="24"/>
    </row>
    <row r="579" spans="36:57" ht="12.75">
      <c r="AJ579" s="24"/>
      <c r="AK579" s="24"/>
      <c r="AL579" s="24"/>
      <c r="AM579" s="24"/>
      <c r="AN579" s="24"/>
      <c r="AO579" s="24"/>
      <c r="AP579" s="24"/>
      <c r="AQ579" s="24"/>
      <c r="AR579" s="24"/>
      <c r="AS579" s="24"/>
      <c r="AT579" s="24"/>
      <c r="AU579" s="24"/>
      <c r="AV579" s="24"/>
      <c r="AW579" s="24"/>
      <c r="AX579" s="24"/>
      <c r="AY579" s="24"/>
      <c r="AZ579" s="24"/>
      <c r="BA579" s="24"/>
      <c r="BB579" s="24"/>
      <c r="BC579" s="24"/>
      <c r="BD579" s="24"/>
      <c r="BE579" s="24"/>
    </row>
    <row r="580" spans="36:57" ht="12.75">
      <c r="AJ580" s="24"/>
      <c r="AK580" s="24"/>
      <c r="AL580" s="24"/>
      <c r="AM580" s="24"/>
      <c r="AN580" s="24"/>
      <c r="AO580" s="24"/>
      <c r="AP580" s="24"/>
      <c r="AQ580" s="24"/>
      <c r="AR580" s="24"/>
      <c r="AS580" s="24"/>
      <c r="AT580" s="24"/>
      <c r="AU580" s="24"/>
      <c r="AV580" s="24"/>
      <c r="AW580" s="24"/>
      <c r="AX580" s="24"/>
      <c r="AY580" s="24"/>
      <c r="AZ580" s="24"/>
      <c r="BA580" s="24"/>
      <c r="BB580" s="24"/>
      <c r="BC580" s="24"/>
      <c r="BD580" s="24"/>
      <c r="BE580" s="24"/>
    </row>
    <row r="581" spans="36:57" ht="12.75">
      <c r="AJ581" s="24"/>
      <c r="AK581" s="24"/>
      <c r="AL581" s="24"/>
      <c r="AM581" s="24"/>
      <c r="AN581" s="24"/>
      <c r="AO581" s="24"/>
      <c r="AP581" s="24"/>
      <c r="AQ581" s="24"/>
      <c r="AR581" s="24"/>
      <c r="AS581" s="24"/>
      <c r="AT581" s="24"/>
      <c r="AU581" s="24"/>
      <c r="AV581" s="24"/>
      <c r="AW581" s="24"/>
      <c r="AX581" s="24"/>
      <c r="AY581" s="24"/>
      <c r="AZ581" s="24"/>
      <c r="BA581" s="24"/>
      <c r="BB581" s="24"/>
      <c r="BC581" s="24"/>
      <c r="BD581" s="24"/>
      <c r="BE581" s="24"/>
    </row>
    <row r="582" spans="36:57" ht="12.75">
      <c r="AJ582" s="24"/>
      <c r="AK582" s="24"/>
      <c r="AL582" s="24"/>
      <c r="AM582" s="24"/>
      <c r="AN582" s="24"/>
      <c r="AO582" s="24"/>
      <c r="AP582" s="24"/>
      <c r="AQ582" s="24"/>
      <c r="AR582" s="24"/>
      <c r="AS582" s="24"/>
      <c r="AT582" s="24"/>
      <c r="AU582" s="24"/>
      <c r="AV582" s="24"/>
      <c r="AW582" s="24"/>
      <c r="AX582" s="24"/>
      <c r="AY582" s="24"/>
      <c r="AZ582" s="24"/>
      <c r="BA582" s="24"/>
      <c r="BB582" s="24"/>
      <c r="BC582" s="24"/>
      <c r="BD582" s="24"/>
      <c r="BE582" s="24"/>
    </row>
    <row r="583" spans="36:57" ht="12.75">
      <c r="AJ583" s="24"/>
      <c r="AK583" s="24"/>
      <c r="AL583" s="24"/>
      <c r="AM583" s="24"/>
      <c r="AN583" s="24"/>
      <c r="AO583" s="24"/>
      <c r="AP583" s="24"/>
      <c r="AQ583" s="24"/>
      <c r="AR583" s="24"/>
      <c r="AS583" s="24"/>
      <c r="AT583" s="24"/>
      <c r="AU583" s="24"/>
      <c r="AV583" s="24"/>
      <c r="AW583" s="24"/>
      <c r="AX583" s="24"/>
      <c r="AY583" s="24"/>
      <c r="AZ583" s="24"/>
      <c r="BA583" s="24"/>
      <c r="BB583" s="24"/>
      <c r="BC583" s="24"/>
      <c r="BD583" s="24"/>
      <c r="BE583" s="24"/>
    </row>
    <row r="584" spans="36:57" ht="12.75">
      <c r="AJ584" s="24"/>
      <c r="AK584" s="24"/>
      <c r="AL584" s="24"/>
      <c r="AM584" s="24"/>
      <c r="AN584" s="24"/>
      <c r="AO584" s="24"/>
      <c r="AP584" s="24"/>
      <c r="AQ584" s="24"/>
      <c r="AR584" s="24"/>
      <c r="AS584" s="24"/>
      <c r="AT584" s="24"/>
      <c r="AU584" s="24"/>
      <c r="AV584" s="24"/>
      <c r="AW584" s="24"/>
      <c r="AX584" s="24"/>
      <c r="AY584" s="24"/>
      <c r="AZ584" s="24"/>
      <c r="BA584" s="24"/>
      <c r="BB584" s="24"/>
      <c r="BC584" s="24"/>
      <c r="BD584" s="24"/>
      <c r="BE584" s="24"/>
    </row>
    <row r="585" spans="36:57" ht="12.75">
      <c r="AJ585" s="24"/>
      <c r="AK585" s="24"/>
      <c r="AL585" s="24"/>
      <c r="AM585" s="24"/>
      <c r="AN585" s="24"/>
      <c r="AO585" s="24"/>
      <c r="AP585" s="24"/>
      <c r="AQ585" s="24"/>
      <c r="AR585" s="24"/>
      <c r="AS585" s="24"/>
      <c r="AT585" s="24"/>
      <c r="AU585" s="24"/>
      <c r="AV585" s="24"/>
      <c r="AW585" s="24"/>
      <c r="AX585" s="24"/>
      <c r="AY585" s="24"/>
      <c r="AZ585" s="24"/>
      <c r="BA585" s="24"/>
      <c r="BB585" s="24"/>
      <c r="BC585" s="24"/>
      <c r="BD585" s="24"/>
      <c r="BE585" s="24"/>
    </row>
    <row r="586" spans="36:57" ht="12.75">
      <c r="AJ586" s="24"/>
      <c r="AK586" s="24"/>
      <c r="AL586" s="24"/>
      <c r="AM586" s="24"/>
      <c r="AN586" s="24"/>
      <c r="AO586" s="24"/>
      <c r="AP586" s="24"/>
      <c r="AQ586" s="24"/>
      <c r="AR586" s="24"/>
      <c r="AS586" s="24"/>
      <c r="AT586" s="24"/>
      <c r="AU586" s="24"/>
      <c r="AV586" s="24"/>
      <c r="AW586" s="24"/>
      <c r="AX586" s="24"/>
      <c r="AY586" s="24"/>
      <c r="AZ586" s="24"/>
      <c r="BA586" s="24"/>
      <c r="BB586" s="24"/>
      <c r="BC586" s="24"/>
      <c r="BD586" s="24"/>
      <c r="BE586" s="24"/>
    </row>
    <row r="587" spans="36:57" ht="12.75">
      <c r="AJ587" s="24"/>
      <c r="AK587" s="24"/>
      <c r="AL587" s="24"/>
      <c r="AM587" s="24"/>
      <c r="AN587" s="24"/>
      <c r="AO587" s="24"/>
      <c r="AP587" s="24"/>
      <c r="AQ587" s="24"/>
      <c r="AR587" s="24"/>
      <c r="AS587" s="24"/>
      <c r="AT587" s="24"/>
      <c r="AU587" s="24"/>
      <c r="AV587" s="24"/>
      <c r="AW587" s="24"/>
      <c r="AX587" s="24"/>
      <c r="AY587" s="24"/>
      <c r="AZ587" s="24"/>
      <c r="BA587" s="24"/>
      <c r="BB587" s="24"/>
      <c r="BC587" s="24"/>
      <c r="BD587" s="24"/>
      <c r="BE587" s="24"/>
    </row>
    <row r="588" spans="36:57" ht="12.75">
      <c r="AJ588" s="24"/>
      <c r="AK588" s="24"/>
      <c r="AL588" s="24"/>
      <c r="AM588" s="24"/>
      <c r="AN588" s="24"/>
      <c r="AO588" s="24"/>
      <c r="AP588" s="24"/>
      <c r="AQ588" s="24"/>
      <c r="AR588" s="24"/>
      <c r="AS588" s="24"/>
      <c r="AT588" s="24"/>
      <c r="AU588" s="24"/>
      <c r="AV588" s="24"/>
      <c r="AW588" s="24"/>
      <c r="AX588" s="24"/>
      <c r="AY588" s="24"/>
      <c r="AZ588" s="24"/>
      <c r="BA588" s="24"/>
      <c r="BB588" s="24"/>
      <c r="BC588" s="24"/>
      <c r="BD588" s="24"/>
      <c r="BE588" s="24"/>
    </row>
    <row r="589" spans="36:57" ht="12.75">
      <c r="AJ589" s="24"/>
      <c r="AK589" s="24"/>
      <c r="AL589" s="24"/>
      <c r="AM589" s="24"/>
      <c r="AN589" s="24"/>
      <c r="AO589" s="24"/>
      <c r="AP589" s="24"/>
      <c r="AQ589" s="24"/>
      <c r="AR589" s="24"/>
      <c r="AS589" s="24"/>
      <c r="AT589" s="24"/>
      <c r="AU589" s="24"/>
      <c r="AV589" s="24"/>
      <c r="AW589" s="24"/>
      <c r="AX589" s="24"/>
      <c r="AY589" s="24"/>
      <c r="AZ589" s="24"/>
      <c r="BA589" s="24"/>
      <c r="BB589" s="24"/>
      <c r="BC589" s="24"/>
      <c r="BD589" s="24"/>
      <c r="BE589" s="24"/>
    </row>
    <row r="590" spans="36:57" ht="12.75">
      <c r="AJ590" s="24"/>
      <c r="AK590" s="24"/>
      <c r="AL590" s="24"/>
      <c r="AM590" s="24"/>
      <c r="AN590" s="24"/>
      <c r="AO590" s="24"/>
      <c r="AP590" s="24"/>
      <c r="AQ590" s="24"/>
      <c r="AR590" s="24"/>
      <c r="AS590" s="24"/>
      <c r="AT590" s="24"/>
      <c r="AU590" s="24"/>
      <c r="AV590" s="24"/>
      <c r="AW590" s="24"/>
      <c r="AX590" s="24"/>
      <c r="AY590" s="24"/>
      <c r="AZ590" s="24"/>
      <c r="BA590" s="24"/>
      <c r="BB590" s="24"/>
      <c r="BC590" s="24"/>
      <c r="BD590" s="24"/>
      <c r="BE590" s="24"/>
    </row>
    <row r="591" spans="36:57" ht="12.75">
      <c r="AJ591" s="24"/>
      <c r="AK591" s="24"/>
      <c r="AL591" s="24"/>
      <c r="AM591" s="24"/>
      <c r="AN591" s="24"/>
      <c r="AO591" s="24"/>
      <c r="AP591" s="24"/>
      <c r="AQ591" s="24"/>
      <c r="AR591" s="24"/>
      <c r="AS591" s="24"/>
      <c r="AT591" s="24"/>
      <c r="AU591" s="24"/>
      <c r="AV591" s="24"/>
      <c r="AW591" s="24"/>
      <c r="AX591" s="24"/>
      <c r="AY591" s="24"/>
      <c r="AZ591" s="24"/>
      <c r="BA591" s="24"/>
      <c r="BB591" s="24"/>
      <c r="BC591" s="24"/>
      <c r="BD591" s="24"/>
      <c r="BE591" s="24"/>
    </row>
    <row r="592" spans="36:57" ht="12.75">
      <c r="AJ592" s="24"/>
      <c r="AK592" s="24"/>
      <c r="AL592" s="24"/>
      <c r="AM592" s="24"/>
      <c r="AN592" s="24"/>
      <c r="AO592" s="24"/>
      <c r="AP592" s="24"/>
      <c r="AQ592" s="24"/>
      <c r="AR592" s="24"/>
      <c r="AS592" s="24"/>
      <c r="AT592" s="24"/>
      <c r="AU592" s="24"/>
      <c r="AV592" s="24"/>
      <c r="AW592" s="24"/>
      <c r="AX592" s="24"/>
      <c r="AY592" s="24"/>
      <c r="AZ592" s="24"/>
      <c r="BA592" s="24"/>
      <c r="BB592" s="24"/>
      <c r="BC592" s="24"/>
      <c r="BD592" s="24"/>
      <c r="BE592" s="24"/>
    </row>
    <row r="593" spans="36:57" ht="12.75">
      <c r="AJ593" s="24"/>
      <c r="AK593" s="24"/>
      <c r="AL593" s="24"/>
      <c r="AM593" s="24"/>
      <c r="AN593" s="24"/>
      <c r="AO593" s="24"/>
      <c r="AP593" s="24"/>
      <c r="AQ593" s="24"/>
      <c r="AR593" s="24"/>
      <c r="AS593" s="24"/>
      <c r="AT593" s="24"/>
      <c r="AU593" s="24"/>
      <c r="AV593" s="24"/>
      <c r="AW593" s="24"/>
      <c r="AX593" s="24"/>
      <c r="AY593" s="24"/>
      <c r="AZ593" s="24"/>
      <c r="BA593" s="24"/>
      <c r="BB593" s="24"/>
      <c r="BC593" s="24"/>
      <c r="BD593" s="24"/>
      <c r="BE593" s="24"/>
    </row>
    <row r="594" spans="36:57" ht="12.75">
      <c r="AJ594" s="24"/>
      <c r="AK594" s="24"/>
      <c r="AL594" s="24"/>
      <c r="AM594" s="24"/>
      <c r="AN594" s="24"/>
      <c r="AO594" s="24"/>
      <c r="AP594" s="24"/>
      <c r="AQ594" s="24"/>
      <c r="AR594" s="24"/>
      <c r="AS594" s="24"/>
      <c r="AT594" s="24"/>
      <c r="AU594" s="24"/>
      <c r="AV594" s="24"/>
      <c r="AW594" s="24"/>
      <c r="AX594" s="24"/>
      <c r="AY594" s="24"/>
      <c r="AZ594" s="24"/>
      <c r="BA594" s="24"/>
      <c r="BB594" s="24"/>
      <c r="BC594" s="24"/>
      <c r="BD594" s="24"/>
      <c r="BE594" s="24"/>
    </row>
    <row r="595" spans="36:57" ht="12.75">
      <c r="AJ595" s="24"/>
      <c r="AK595" s="24"/>
      <c r="AL595" s="24"/>
      <c r="AM595" s="24"/>
      <c r="AN595" s="24"/>
      <c r="AO595" s="24"/>
      <c r="AP595" s="24"/>
      <c r="AQ595" s="24"/>
      <c r="AR595" s="24"/>
      <c r="AS595" s="24"/>
      <c r="AT595" s="24"/>
      <c r="AU595" s="24"/>
      <c r="AV595" s="24"/>
      <c r="AW595" s="24"/>
      <c r="AX595" s="24"/>
      <c r="AY595" s="24"/>
      <c r="AZ595" s="24"/>
      <c r="BA595" s="24"/>
      <c r="BB595" s="24"/>
      <c r="BC595" s="24"/>
      <c r="BD595" s="24"/>
      <c r="BE595" s="24"/>
    </row>
    <row r="596" spans="36:57" ht="12.75">
      <c r="AJ596" s="24"/>
      <c r="AK596" s="24"/>
      <c r="AL596" s="24"/>
      <c r="AM596" s="24"/>
      <c r="AN596" s="24"/>
      <c r="AO596" s="24"/>
      <c r="AP596" s="24"/>
      <c r="AQ596" s="24"/>
      <c r="AR596" s="24"/>
      <c r="AS596" s="24"/>
      <c r="AT596" s="24"/>
      <c r="AU596" s="24"/>
      <c r="AV596" s="24"/>
      <c r="AW596" s="24"/>
      <c r="AX596" s="24"/>
      <c r="AY596" s="24"/>
      <c r="AZ596" s="24"/>
      <c r="BA596" s="24"/>
      <c r="BB596" s="24"/>
      <c r="BC596" s="24"/>
      <c r="BD596" s="24"/>
      <c r="BE596" s="24"/>
    </row>
    <row r="597" spans="36:57" ht="12.75">
      <c r="AJ597" s="24"/>
      <c r="AK597" s="24"/>
      <c r="AL597" s="24"/>
      <c r="AM597" s="24"/>
      <c r="AN597" s="24"/>
      <c r="AO597" s="24"/>
      <c r="AP597" s="24"/>
      <c r="AQ597" s="24"/>
      <c r="AR597" s="24"/>
      <c r="AS597" s="24"/>
      <c r="AT597" s="24"/>
      <c r="AU597" s="24"/>
      <c r="AV597" s="24"/>
      <c r="AW597" s="24"/>
      <c r="AX597" s="24"/>
      <c r="AY597" s="24"/>
      <c r="AZ597" s="24"/>
      <c r="BA597" s="24"/>
      <c r="BB597" s="24"/>
      <c r="BC597" s="24"/>
      <c r="BD597" s="24"/>
      <c r="BE597" s="24"/>
    </row>
    <row r="598" spans="36:57" ht="12.75">
      <c r="AJ598" s="24"/>
      <c r="AK598" s="24"/>
      <c r="AL598" s="24"/>
      <c r="AM598" s="24"/>
      <c r="AN598" s="24"/>
      <c r="AO598" s="24"/>
      <c r="AP598" s="24"/>
      <c r="AQ598" s="24"/>
      <c r="AR598" s="24"/>
      <c r="AS598" s="24"/>
      <c r="AT598" s="24"/>
      <c r="AU598" s="24"/>
      <c r="AV598" s="24"/>
      <c r="AW598" s="24"/>
      <c r="AX598" s="24"/>
      <c r="AY598" s="24"/>
      <c r="AZ598" s="24"/>
      <c r="BA598" s="24"/>
      <c r="BB598" s="24"/>
      <c r="BC598" s="24"/>
      <c r="BD598" s="24"/>
      <c r="BE598" s="24"/>
    </row>
    <row r="599" spans="36:57" ht="12.75">
      <c r="AJ599" s="24"/>
      <c r="AK599" s="24"/>
      <c r="AL599" s="24"/>
      <c r="AM599" s="24"/>
      <c r="AN599" s="24"/>
      <c r="AO599" s="24"/>
      <c r="AP599" s="24"/>
      <c r="AQ599" s="24"/>
      <c r="AR599" s="24"/>
      <c r="AS599" s="24"/>
      <c r="AT599" s="24"/>
      <c r="AU599" s="24"/>
      <c r="AV599" s="24"/>
      <c r="AW599" s="24"/>
      <c r="AX599" s="24"/>
      <c r="AY599" s="24"/>
      <c r="AZ599" s="24"/>
      <c r="BA599" s="24"/>
      <c r="BB599" s="24"/>
      <c r="BC599" s="24"/>
      <c r="BD599" s="24"/>
      <c r="BE599" s="24"/>
    </row>
    <row r="600" spans="36:57" ht="12.75">
      <c r="AJ600" s="24"/>
      <c r="AK600" s="24"/>
      <c r="AL600" s="24"/>
      <c r="AM600" s="24"/>
      <c r="AN600" s="24"/>
      <c r="AO600" s="24"/>
      <c r="AP600" s="24"/>
      <c r="AQ600" s="24"/>
      <c r="AR600" s="24"/>
      <c r="AS600" s="24"/>
      <c r="AT600" s="24"/>
      <c r="AU600" s="24"/>
      <c r="AV600" s="24"/>
      <c r="AW600" s="24"/>
      <c r="AX600" s="24"/>
      <c r="AY600" s="24"/>
      <c r="AZ600" s="24"/>
      <c r="BA600" s="24"/>
      <c r="BB600" s="24"/>
      <c r="BC600" s="24"/>
      <c r="BD600" s="24"/>
      <c r="BE600" s="24"/>
    </row>
    <row r="601" spans="36:57" ht="12.75">
      <c r="AJ601" s="24"/>
      <c r="AK601" s="24"/>
      <c r="AL601" s="24"/>
      <c r="AM601" s="24"/>
      <c r="AN601" s="24"/>
      <c r="AO601" s="24"/>
      <c r="AP601" s="24"/>
      <c r="AQ601" s="24"/>
      <c r="AR601" s="24"/>
      <c r="AS601" s="24"/>
      <c r="AT601" s="24"/>
      <c r="AU601" s="24"/>
      <c r="AV601" s="24"/>
      <c r="AW601" s="24"/>
      <c r="AX601" s="24"/>
      <c r="AY601" s="24"/>
      <c r="AZ601" s="24"/>
      <c r="BA601" s="24"/>
      <c r="BB601" s="24"/>
      <c r="BC601" s="24"/>
      <c r="BD601" s="24"/>
      <c r="BE601" s="24"/>
    </row>
    <row r="602" spans="36:57" ht="12.75">
      <c r="AJ602" s="24"/>
      <c r="AK602" s="24"/>
      <c r="AL602" s="24"/>
      <c r="AM602" s="24"/>
      <c r="AN602" s="24"/>
      <c r="AO602" s="24"/>
      <c r="AP602" s="24"/>
      <c r="AQ602" s="24"/>
      <c r="AR602" s="24"/>
      <c r="AS602" s="24"/>
      <c r="AT602" s="24"/>
      <c r="AU602" s="24"/>
      <c r="AV602" s="24"/>
      <c r="AW602" s="24"/>
      <c r="AX602" s="24"/>
      <c r="AY602" s="24"/>
      <c r="AZ602" s="24"/>
      <c r="BA602" s="24"/>
      <c r="BB602" s="24"/>
      <c r="BC602" s="24"/>
      <c r="BD602" s="24"/>
      <c r="BE602" s="24"/>
    </row>
    <row r="603" spans="36:57" ht="12.75">
      <c r="AJ603" s="24"/>
      <c r="AK603" s="24"/>
      <c r="AL603" s="24"/>
      <c r="AM603" s="24"/>
      <c r="AN603" s="24"/>
      <c r="AO603" s="24"/>
      <c r="AP603" s="24"/>
      <c r="AQ603" s="24"/>
      <c r="AR603" s="24"/>
      <c r="AS603" s="24"/>
      <c r="AT603" s="24"/>
      <c r="AU603" s="24"/>
      <c r="AV603" s="24"/>
      <c r="AW603" s="24"/>
      <c r="AX603" s="24"/>
      <c r="AY603" s="24"/>
      <c r="AZ603" s="24"/>
      <c r="BA603" s="24"/>
      <c r="BB603" s="24"/>
      <c r="BC603" s="24"/>
      <c r="BD603" s="24"/>
      <c r="BE603" s="24"/>
    </row>
    <row r="604" spans="36:57" ht="12.75">
      <c r="AJ604" s="24"/>
      <c r="AK604" s="24"/>
      <c r="AL604" s="24"/>
      <c r="AM604" s="24"/>
      <c r="AN604" s="24"/>
      <c r="AO604" s="24"/>
      <c r="AP604" s="24"/>
      <c r="AQ604" s="24"/>
      <c r="AR604" s="24"/>
      <c r="AS604" s="24"/>
      <c r="AT604" s="24"/>
      <c r="AU604" s="24"/>
      <c r="AV604" s="24"/>
      <c r="AW604" s="24"/>
      <c r="AX604" s="24"/>
      <c r="AY604" s="24"/>
      <c r="AZ604" s="24"/>
      <c r="BA604" s="24"/>
      <c r="BB604" s="24"/>
      <c r="BC604" s="24"/>
      <c r="BD604" s="24"/>
      <c r="BE604" s="24"/>
    </row>
    <row r="605" spans="36:57" ht="12.75">
      <c r="AJ605" s="24"/>
      <c r="AK605" s="24"/>
      <c r="AL605" s="24"/>
      <c r="AM605" s="24"/>
      <c r="AN605" s="24"/>
      <c r="AO605" s="24"/>
      <c r="AP605" s="24"/>
      <c r="AQ605" s="24"/>
      <c r="AR605" s="24"/>
      <c r="AS605" s="24"/>
      <c r="AT605" s="24"/>
      <c r="AU605" s="24"/>
      <c r="AV605" s="24"/>
      <c r="AW605" s="24"/>
      <c r="AX605" s="24"/>
      <c r="AY605" s="24"/>
      <c r="AZ605" s="24"/>
      <c r="BA605" s="24"/>
      <c r="BB605" s="24"/>
      <c r="BC605" s="24"/>
      <c r="BD605" s="24"/>
      <c r="BE605" s="24"/>
    </row>
    <row r="606" spans="36:57" ht="12.75">
      <c r="AJ606" s="24"/>
      <c r="AK606" s="24"/>
      <c r="AL606" s="24"/>
      <c r="AM606" s="24"/>
      <c r="AN606" s="24"/>
      <c r="AO606" s="24"/>
      <c r="AP606" s="24"/>
      <c r="AQ606" s="24"/>
      <c r="AR606" s="24"/>
      <c r="AS606" s="24"/>
      <c r="AT606" s="24"/>
      <c r="AU606" s="24"/>
      <c r="AV606" s="24"/>
      <c r="AW606" s="24"/>
      <c r="AX606" s="24"/>
      <c r="AY606" s="24"/>
      <c r="AZ606" s="24"/>
      <c r="BA606" s="24"/>
      <c r="BB606" s="24"/>
      <c r="BC606" s="24"/>
      <c r="BD606" s="24"/>
      <c r="BE606" s="24"/>
    </row>
    <row r="607" spans="36:57" ht="12.75">
      <c r="AJ607" s="24"/>
      <c r="AK607" s="24"/>
      <c r="AL607" s="24"/>
      <c r="AM607" s="24"/>
      <c r="AN607" s="24"/>
      <c r="AO607" s="24"/>
      <c r="AP607" s="24"/>
      <c r="AQ607" s="24"/>
      <c r="AR607" s="24"/>
      <c r="AS607" s="24"/>
      <c r="AT607" s="24"/>
      <c r="AU607" s="24"/>
      <c r="AV607" s="24"/>
      <c r="AW607" s="24"/>
      <c r="AX607" s="24"/>
      <c r="AY607" s="24"/>
      <c r="AZ607" s="24"/>
      <c r="BA607" s="24"/>
      <c r="BB607" s="24"/>
      <c r="BC607" s="24"/>
      <c r="BD607" s="24"/>
      <c r="BE607" s="24"/>
    </row>
    <row r="608" spans="36:57" ht="12.75">
      <c r="AJ608" s="24"/>
      <c r="AK608" s="24"/>
      <c r="AL608" s="24"/>
      <c r="AM608" s="24"/>
      <c r="AN608" s="24"/>
      <c r="AO608" s="24"/>
      <c r="AP608" s="24"/>
      <c r="AQ608" s="24"/>
      <c r="AR608" s="24"/>
      <c r="AS608" s="24"/>
      <c r="AT608" s="24"/>
      <c r="AU608" s="24"/>
      <c r="AV608" s="24"/>
      <c r="AW608" s="24"/>
      <c r="AX608" s="24"/>
      <c r="AY608" s="24"/>
      <c r="AZ608" s="24"/>
      <c r="BA608" s="24"/>
      <c r="BB608" s="24"/>
      <c r="BC608" s="24"/>
      <c r="BD608" s="24"/>
      <c r="BE608" s="24"/>
    </row>
    <row r="609" spans="36:57" ht="12.75">
      <c r="AJ609" s="24"/>
      <c r="AK609" s="24"/>
      <c r="AL609" s="24"/>
      <c r="AM609" s="24"/>
      <c r="AN609" s="24"/>
      <c r="AO609" s="24"/>
      <c r="AP609" s="24"/>
      <c r="AQ609" s="24"/>
      <c r="AR609" s="24"/>
      <c r="AS609" s="24"/>
      <c r="AT609" s="24"/>
      <c r="AU609" s="24"/>
      <c r="AV609" s="24"/>
      <c r="AW609" s="24"/>
      <c r="AX609" s="24"/>
      <c r="AY609" s="24"/>
      <c r="AZ609" s="24"/>
      <c r="BA609" s="24"/>
      <c r="BB609" s="24"/>
      <c r="BC609" s="24"/>
      <c r="BD609" s="24"/>
      <c r="BE609" s="24"/>
    </row>
    <row r="610" spans="36:57" ht="12.75">
      <c r="AJ610" s="24"/>
      <c r="AK610" s="24"/>
      <c r="AL610" s="24"/>
      <c r="AM610" s="24"/>
      <c r="AN610" s="24"/>
      <c r="AO610" s="24"/>
      <c r="AP610" s="24"/>
      <c r="AQ610" s="24"/>
      <c r="AR610" s="24"/>
      <c r="AS610" s="24"/>
      <c r="AT610" s="24"/>
      <c r="AU610" s="24"/>
      <c r="AV610" s="24"/>
      <c r="AW610" s="24"/>
      <c r="AX610" s="24"/>
      <c r="AY610" s="24"/>
      <c r="AZ610" s="24"/>
      <c r="BA610" s="24"/>
      <c r="BB610" s="24"/>
      <c r="BC610" s="24"/>
      <c r="BD610" s="24"/>
      <c r="BE610" s="24"/>
    </row>
    <row r="611" spans="36:57" ht="12.75">
      <c r="AJ611" s="24"/>
      <c r="AK611" s="24"/>
      <c r="AL611" s="24"/>
      <c r="AM611" s="24"/>
      <c r="AN611" s="24"/>
      <c r="AO611" s="24"/>
      <c r="AP611" s="24"/>
      <c r="AQ611" s="24"/>
      <c r="AR611" s="24"/>
      <c r="AS611" s="24"/>
      <c r="AT611" s="24"/>
      <c r="AU611" s="24"/>
      <c r="AV611" s="24"/>
      <c r="AW611" s="24"/>
      <c r="AX611" s="24"/>
      <c r="AY611" s="24"/>
      <c r="AZ611" s="24"/>
      <c r="BA611" s="24"/>
      <c r="BB611" s="24"/>
      <c r="BC611" s="24"/>
      <c r="BD611" s="24"/>
      <c r="BE611" s="24"/>
    </row>
    <row r="612" spans="36:57" ht="12.75">
      <c r="AJ612" s="24"/>
      <c r="AK612" s="24"/>
      <c r="AL612" s="24"/>
      <c r="AM612" s="24"/>
      <c r="AN612" s="24"/>
      <c r="AO612" s="24"/>
      <c r="AP612" s="24"/>
      <c r="AQ612" s="24"/>
      <c r="AR612" s="24"/>
      <c r="AS612" s="24"/>
      <c r="AT612" s="24"/>
      <c r="AU612" s="24"/>
      <c r="AV612" s="24"/>
      <c r="AW612" s="24"/>
      <c r="AX612" s="24"/>
      <c r="AY612" s="24"/>
      <c r="AZ612" s="24"/>
      <c r="BA612" s="24"/>
      <c r="BB612" s="24"/>
      <c r="BC612" s="24"/>
      <c r="BD612" s="24"/>
      <c r="BE612" s="24"/>
    </row>
    <row r="613" spans="36:57" ht="12.75">
      <c r="AJ613" s="24"/>
      <c r="AK613" s="24"/>
      <c r="AL613" s="24"/>
      <c r="AM613" s="24"/>
      <c r="AN613" s="24"/>
      <c r="AO613" s="24"/>
      <c r="AP613" s="24"/>
      <c r="AQ613" s="24"/>
      <c r="AR613" s="24"/>
      <c r="AS613" s="24"/>
      <c r="AT613" s="24"/>
      <c r="AU613" s="24"/>
      <c r="AV613" s="24"/>
      <c r="AW613" s="24"/>
      <c r="AX613" s="24"/>
      <c r="AY613" s="24"/>
      <c r="AZ613" s="24"/>
      <c r="BA613" s="24"/>
      <c r="BB613" s="24"/>
      <c r="BC613" s="24"/>
      <c r="BD613" s="24"/>
      <c r="BE613" s="24"/>
    </row>
    <row r="614" spans="36:57" ht="12.75">
      <c r="AJ614" s="24"/>
      <c r="AK614" s="24"/>
      <c r="AL614" s="24"/>
      <c r="AM614" s="24"/>
      <c r="AN614" s="24"/>
      <c r="AO614" s="24"/>
      <c r="AP614" s="24"/>
      <c r="AQ614" s="24"/>
      <c r="AR614" s="24"/>
      <c r="AS614" s="24"/>
      <c r="AT614" s="24"/>
      <c r="AU614" s="24"/>
      <c r="AV614" s="24"/>
      <c r="AW614" s="24"/>
      <c r="AX614" s="24"/>
      <c r="AY614" s="24"/>
      <c r="AZ614" s="24"/>
      <c r="BA614" s="24"/>
      <c r="BB614" s="24"/>
      <c r="BC614" s="24"/>
      <c r="BD614" s="24"/>
      <c r="BE614" s="24"/>
    </row>
    <row r="615" spans="36:57" ht="12.75">
      <c r="AJ615" s="24"/>
      <c r="AK615" s="24"/>
      <c r="AL615" s="24"/>
      <c r="AM615" s="24"/>
      <c r="AN615" s="24"/>
      <c r="AO615" s="24"/>
      <c r="AP615" s="24"/>
      <c r="AQ615" s="24"/>
      <c r="AR615" s="24"/>
      <c r="AS615" s="24"/>
      <c r="AT615" s="24"/>
      <c r="AU615" s="24"/>
      <c r="AV615" s="24"/>
      <c r="AW615" s="24"/>
      <c r="AX615" s="24"/>
      <c r="AY615" s="24"/>
      <c r="AZ615" s="24"/>
      <c r="BA615" s="24"/>
      <c r="BB615" s="24"/>
      <c r="BC615" s="24"/>
      <c r="BD615" s="24"/>
      <c r="BE615" s="24"/>
    </row>
    <row r="616" spans="36:57" ht="12.75">
      <c r="AJ616" s="24"/>
      <c r="AK616" s="24"/>
      <c r="AL616" s="24"/>
      <c r="AM616" s="24"/>
      <c r="AN616" s="24"/>
      <c r="AO616" s="24"/>
      <c r="AP616" s="24"/>
      <c r="AQ616" s="24"/>
      <c r="AR616" s="24"/>
      <c r="AS616" s="24"/>
      <c r="AT616" s="24"/>
      <c r="AU616" s="24"/>
      <c r="AV616" s="24"/>
      <c r="AW616" s="24"/>
      <c r="AX616" s="24"/>
      <c r="AY616" s="24"/>
      <c r="AZ616" s="24"/>
      <c r="BA616" s="24"/>
      <c r="BB616" s="24"/>
      <c r="BC616" s="24"/>
      <c r="BD616" s="24"/>
      <c r="BE616" s="24"/>
    </row>
    <row r="617" spans="36:57" ht="12.75">
      <c r="AJ617" s="24"/>
      <c r="AK617" s="24"/>
      <c r="AL617" s="24"/>
      <c r="AM617" s="24"/>
      <c r="AN617" s="24"/>
      <c r="AO617" s="24"/>
      <c r="AP617" s="24"/>
      <c r="AQ617" s="24"/>
      <c r="AR617" s="24"/>
      <c r="AS617" s="24"/>
      <c r="AT617" s="24"/>
      <c r="AU617" s="24"/>
      <c r="AV617" s="24"/>
      <c r="AW617" s="24"/>
      <c r="AX617" s="24"/>
      <c r="AY617" s="24"/>
      <c r="AZ617" s="24"/>
      <c r="BA617" s="24"/>
      <c r="BB617" s="24"/>
      <c r="BC617" s="24"/>
      <c r="BD617" s="24"/>
      <c r="BE617" s="24"/>
    </row>
    <row r="618" spans="36:57" ht="12.75">
      <c r="AJ618" s="24"/>
      <c r="AK618" s="24"/>
      <c r="AL618" s="24"/>
      <c r="AM618" s="24"/>
      <c r="AN618" s="24"/>
      <c r="AO618" s="24"/>
      <c r="AP618" s="24"/>
      <c r="AQ618" s="24"/>
      <c r="AR618" s="24"/>
      <c r="AS618" s="24"/>
      <c r="AT618" s="24"/>
      <c r="AU618" s="24"/>
      <c r="AV618" s="24"/>
      <c r="AW618" s="24"/>
      <c r="AX618" s="24"/>
      <c r="AY618" s="24"/>
      <c r="AZ618" s="24"/>
      <c r="BA618" s="24"/>
      <c r="BB618" s="24"/>
      <c r="BC618" s="24"/>
      <c r="BD618" s="24"/>
      <c r="BE618" s="24"/>
    </row>
    <row r="619" spans="36:57" ht="12.75">
      <c r="AJ619" s="24"/>
      <c r="AK619" s="24"/>
      <c r="AL619" s="24"/>
      <c r="AM619" s="24"/>
      <c r="AN619" s="24"/>
      <c r="AO619" s="24"/>
      <c r="AP619" s="24"/>
      <c r="AQ619" s="24"/>
      <c r="AR619" s="24"/>
      <c r="AS619" s="24"/>
      <c r="AT619" s="24"/>
      <c r="AU619" s="24"/>
      <c r="AV619" s="24"/>
      <c r="AW619" s="24"/>
      <c r="AX619" s="24"/>
      <c r="AY619" s="24"/>
      <c r="AZ619" s="24"/>
      <c r="BA619" s="24"/>
      <c r="BB619" s="24"/>
      <c r="BC619" s="24"/>
      <c r="BD619" s="24"/>
      <c r="BE619" s="24"/>
    </row>
    <row r="620" spans="36:57" ht="12.75">
      <c r="AJ620" s="24"/>
      <c r="AK620" s="24"/>
      <c r="AL620" s="24"/>
      <c r="AM620" s="24"/>
      <c r="AN620" s="24"/>
      <c r="AO620" s="24"/>
      <c r="AP620" s="24"/>
      <c r="AQ620" s="24"/>
      <c r="AR620" s="24"/>
      <c r="AS620" s="24"/>
      <c r="AT620" s="24"/>
      <c r="AU620" s="24"/>
      <c r="AV620" s="24"/>
      <c r="AW620" s="24"/>
      <c r="AX620" s="24"/>
      <c r="AY620" s="24"/>
      <c r="AZ620" s="24"/>
      <c r="BA620" s="24"/>
      <c r="BB620" s="24"/>
      <c r="BC620" s="24"/>
      <c r="BD620" s="24"/>
      <c r="BE620" s="24"/>
    </row>
    <row r="621" spans="36:57" ht="12.75">
      <c r="AJ621" s="24"/>
      <c r="AK621" s="24"/>
      <c r="AL621" s="24"/>
      <c r="AM621" s="24"/>
      <c r="AN621" s="24"/>
      <c r="AO621" s="24"/>
      <c r="AP621" s="24"/>
      <c r="AQ621" s="24"/>
      <c r="AR621" s="24"/>
      <c r="AS621" s="24"/>
      <c r="AT621" s="24"/>
      <c r="AU621" s="24"/>
      <c r="AV621" s="24"/>
      <c r="AW621" s="24"/>
      <c r="AX621" s="24"/>
      <c r="AY621" s="24"/>
      <c r="AZ621" s="24"/>
      <c r="BA621" s="24"/>
      <c r="BB621" s="24"/>
      <c r="BC621" s="24"/>
      <c r="BD621" s="24"/>
      <c r="BE621" s="24"/>
    </row>
    <row r="622" spans="36:57" ht="12.75">
      <c r="AJ622" s="24"/>
      <c r="AK622" s="24"/>
      <c r="AL622" s="24"/>
      <c r="AM622" s="24"/>
      <c r="AN622" s="24"/>
      <c r="AO622" s="24"/>
      <c r="AP622" s="24"/>
      <c r="AQ622" s="24"/>
      <c r="AR622" s="24"/>
      <c r="AS622" s="24"/>
      <c r="AT622" s="24"/>
      <c r="AU622" s="24"/>
      <c r="AV622" s="24"/>
      <c r="AW622" s="24"/>
      <c r="AX622" s="24"/>
      <c r="AY622" s="24"/>
      <c r="AZ622" s="24"/>
      <c r="BA622" s="24"/>
      <c r="BB622" s="24"/>
      <c r="BC622" s="24"/>
      <c r="BD622" s="24"/>
      <c r="BE622" s="24"/>
    </row>
    <row r="623" spans="36:57" ht="12.75">
      <c r="AJ623" s="24"/>
      <c r="AK623" s="24"/>
      <c r="AL623" s="24"/>
      <c r="AM623" s="24"/>
      <c r="AN623" s="24"/>
      <c r="AO623" s="24"/>
      <c r="AP623" s="24"/>
      <c r="AQ623" s="24"/>
      <c r="AR623" s="24"/>
      <c r="AS623" s="24"/>
      <c r="AT623" s="24"/>
      <c r="AU623" s="24"/>
      <c r="AV623" s="24"/>
      <c r="AW623" s="24"/>
      <c r="AX623" s="24"/>
      <c r="AY623" s="24"/>
      <c r="AZ623" s="24"/>
      <c r="BA623" s="24"/>
      <c r="BB623" s="24"/>
      <c r="BC623" s="24"/>
      <c r="BD623" s="24"/>
      <c r="BE623" s="24"/>
    </row>
    <row r="624" spans="36:57" ht="12.75">
      <c r="AJ624" s="24"/>
      <c r="AK624" s="24"/>
      <c r="AL624" s="24"/>
      <c r="AM624" s="24"/>
      <c r="AN624" s="24"/>
      <c r="AO624" s="24"/>
      <c r="AP624" s="24"/>
      <c r="AQ624" s="24"/>
      <c r="AR624" s="24"/>
      <c r="AS624" s="24"/>
      <c r="AT624" s="24"/>
      <c r="AU624" s="24"/>
      <c r="AV624" s="24"/>
      <c r="AW624" s="24"/>
      <c r="AX624" s="24"/>
      <c r="AY624" s="24"/>
      <c r="AZ624" s="24"/>
      <c r="BA624" s="24"/>
      <c r="BB624" s="24"/>
      <c r="BC624" s="24"/>
      <c r="BD624" s="24"/>
      <c r="BE624" s="24"/>
    </row>
    <row r="625" spans="36:57" ht="12.75">
      <c r="AJ625" s="24"/>
      <c r="AK625" s="24"/>
      <c r="AL625" s="24"/>
      <c r="AM625" s="24"/>
      <c r="AN625" s="24"/>
      <c r="AO625" s="24"/>
      <c r="AP625" s="24"/>
      <c r="AQ625" s="24"/>
      <c r="AR625" s="24"/>
      <c r="AS625" s="24"/>
      <c r="AT625" s="24"/>
      <c r="AU625" s="24"/>
      <c r="AV625" s="24"/>
      <c r="AW625" s="24"/>
      <c r="AX625" s="24"/>
      <c r="AY625" s="24"/>
      <c r="AZ625" s="24"/>
      <c r="BA625" s="24"/>
      <c r="BB625" s="24"/>
      <c r="BC625" s="24"/>
      <c r="BD625" s="24"/>
      <c r="BE625" s="24"/>
    </row>
    <row r="626" spans="36:57" ht="12.75">
      <c r="AJ626" s="24"/>
      <c r="AK626" s="24"/>
      <c r="AL626" s="24"/>
      <c r="AM626" s="24"/>
      <c r="AN626" s="24"/>
      <c r="AO626" s="24"/>
      <c r="AP626" s="24"/>
      <c r="AQ626" s="24"/>
      <c r="AR626" s="24"/>
      <c r="AS626" s="24"/>
      <c r="AT626" s="24"/>
      <c r="AU626" s="24"/>
      <c r="AV626" s="24"/>
      <c r="AW626" s="24"/>
      <c r="AX626" s="24"/>
      <c r="AY626" s="24"/>
      <c r="AZ626" s="24"/>
      <c r="BA626" s="24"/>
      <c r="BB626" s="24"/>
      <c r="BC626" s="24"/>
      <c r="BD626" s="24"/>
      <c r="BE626" s="24"/>
    </row>
    <row r="627" spans="36:57" ht="12.75">
      <c r="AJ627" s="24"/>
      <c r="AK627" s="24"/>
      <c r="AL627" s="24"/>
      <c r="AM627" s="24"/>
      <c r="AN627" s="24"/>
      <c r="AO627" s="24"/>
      <c r="AP627" s="24"/>
      <c r="AQ627" s="24"/>
      <c r="AR627" s="24"/>
      <c r="AS627" s="24"/>
      <c r="AT627" s="24"/>
      <c r="AU627" s="24"/>
      <c r="AV627" s="24"/>
      <c r="AW627" s="24"/>
      <c r="AX627" s="24"/>
      <c r="AY627" s="24"/>
      <c r="AZ627" s="24"/>
      <c r="BA627" s="24"/>
      <c r="BB627" s="24"/>
      <c r="BC627" s="24"/>
      <c r="BD627" s="24"/>
      <c r="BE627" s="24"/>
    </row>
    <row r="628" spans="36:57" ht="12.75">
      <c r="AJ628" s="24"/>
      <c r="AK628" s="24"/>
      <c r="AL628" s="24"/>
      <c r="AM628" s="24"/>
      <c r="AN628" s="24"/>
      <c r="AO628" s="24"/>
      <c r="AP628" s="24"/>
      <c r="AQ628" s="24"/>
      <c r="AR628" s="24"/>
      <c r="AS628" s="24"/>
      <c r="AT628" s="24"/>
      <c r="AU628" s="24"/>
      <c r="AV628" s="24"/>
      <c r="AW628" s="24"/>
      <c r="AX628" s="24"/>
      <c r="AY628" s="24"/>
      <c r="AZ628" s="24"/>
      <c r="BA628" s="24"/>
      <c r="BB628" s="24"/>
      <c r="BC628" s="24"/>
      <c r="BD628" s="24"/>
      <c r="BE628" s="24"/>
    </row>
    <row r="629" spans="36:57" ht="12.75">
      <c r="AJ629" s="24"/>
      <c r="AK629" s="24"/>
      <c r="AL629" s="24"/>
      <c r="AM629" s="24"/>
      <c r="AN629" s="24"/>
      <c r="AO629" s="24"/>
      <c r="AP629" s="24"/>
      <c r="AQ629" s="24"/>
      <c r="AR629" s="24"/>
      <c r="AS629" s="24"/>
      <c r="AT629" s="24"/>
      <c r="AU629" s="24"/>
      <c r="AV629" s="24"/>
      <c r="AW629" s="24"/>
      <c r="AX629" s="24"/>
      <c r="AY629" s="24"/>
      <c r="AZ629" s="24"/>
      <c r="BA629" s="24"/>
      <c r="BB629" s="24"/>
      <c r="BC629" s="24"/>
      <c r="BD629" s="24"/>
      <c r="BE629" s="24"/>
    </row>
    <row r="630" spans="36:57" ht="12.75">
      <c r="AJ630" s="24"/>
      <c r="AK630" s="24"/>
      <c r="AL630" s="24"/>
      <c r="AM630" s="24"/>
      <c r="AN630" s="24"/>
      <c r="AO630" s="24"/>
      <c r="AP630" s="24"/>
      <c r="AQ630" s="24"/>
      <c r="AR630" s="24"/>
      <c r="AS630" s="24"/>
      <c r="AT630" s="24"/>
      <c r="AU630" s="24"/>
      <c r="AV630" s="24"/>
      <c r="AW630" s="24"/>
      <c r="AX630" s="24"/>
      <c r="AY630" s="24"/>
      <c r="AZ630" s="24"/>
      <c r="BA630" s="24"/>
      <c r="BB630" s="24"/>
      <c r="BC630" s="24"/>
      <c r="BD630" s="24"/>
      <c r="BE630" s="24"/>
    </row>
    <row r="631" spans="36:57" ht="12.75">
      <c r="AJ631" s="24"/>
      <c r="AK631" s="24"/>
      <c r="AL631" s="24"/>
      <c r="AM631" s="24"/>
      <c r="AN631" s="24"/>
      <c r="AO631" s="24"/>
      <c r="AP631" s="24"/>
      <c r="AQ631" s="24"/>
      <c r="AR631" s="24"/>
      <c r="AS631" s="24"/>
      <c r="AT631" s="24"/>
      <c r="AU631" s="24"/>
      <c r="AV631" s="24"/>
      <c r="AW631" s="24"/>
      <c r="AX631" s="24"/>
      <c r="AY631" s="24"/>
      <c r="AZ631" s="24"/>
      <c r="BA631" s="24"/>
      <c r="BB631" s="24"/>
      <c r="BC631" s="24"/>
      <c r="BD631" s="24"/>
      <c r="BE631" s="24"/>
    </row>
    <row r="632" spans="36:57" ht="12.75">
      <c r="AJ632" s="24"/>
      <c r="AK632" s="24"/>
      <c r="AL632" s="24"/>
      <c r="AM632" s="24"/>
      <c r="AN632" s="24"/>
      <c r="AO632" s="24"/>
      <c r="AP632" s="24"/>
      <c r="AQ632" s="24"/>
      <c r="AR632" s="24"/>
      <c r="AS632" s="24"/>
      <c r="AT632" s="24"/>
      <c r="AU632" s="24"/>
      <c r="AV632" s="24"/>
      <c r="AW632" s="24"/>
      <c r="AX632" s="24"/>
      <c r="AY632" s="24"/>
      <c r="AZ632" s="24"/>
      <c r="BA632" s="24"/>
      <c r="BB632" s="24"/>
      <c r="BC632" s="24"/>
      <c r="BD632" s="24"/>
      <c r="BE632" s="24"/>
    </row>
    <row r="633" spans="36:57" ht="12.75">
      <c r="AJ633" s="24"/>
      <c r="AK633" s="24"/>
      <c r="AL633" s="24"/>
      <c r="AM633" s="24"/>
      <c r="AN633" s="24"/>
      <c r="AO633" s="24"/>
      <c r="AP633" s="24"/>
      <c r="AQ633" s="24"/>
      <c r="AR633" s="24"/>
      <c r="AS633" s="24"/>
      <c r="AT633" s="24"/>
      <c r="AU633" s="24"/>
      <c r="AV633" s="24"/>
      <c r="AW633" s="24"/>
      <c r="AX633" s="24"/>
      <c r="AY633" s="24"/>
      <c r="AZ633" s="24"/>
      <c r="BA633" s="24"/>
      <c r="BB633" s="24"/>
      <c r="BC633" s="24"/>
      <c r="BD633" s="24"/>
      <c r="BE633" s="24"/>
    </row>
    <row r="634" spans="36:57" ht="12.75">
      <c r="AJ634" s="24"/>
      <c r="AK634" s="24"/>
      <c r="AL634" s="24"/>
      <c r="AM634" s="24"/>
      <c r="AN634" s="24"/>
      <c r="AO634" s="24"/>
      <c r="AP634" s="24"/>
      <c r="AQ634" s="24"/>
      <c r="AR634" s="24"/>
      <c r="AS634" s="24"/>
      <c r="AT634" s="24"/>
      <c r="AU634" s="24"/>
      <c r="AV634" s="24"/>
      <c r="AW634" s="24"/>
      <c r="AX634" s="24"/>
      <c r="AY634" s="24"/>
      <c r="AZ634" s="24"/>
      <c r="BA634" s="24"/>
      <c r="BB634" s="24"/>
      <c r="BC634" s="24"/>
      <c r="BD634" s="24"/>
      <c r="BE634" s="24"/>
    </row>
    <row r="635" spans="36:57" ht="12.75">
      <c r="AJ635" s="24"/>
      <c r="AK635" s="24"/>
      <c r="AL635" s="24"/>
      <c r="AM635" s="24"/>
      <c r="AN635" s="24"/>
      <c r="AO635" s="24"/>
      <c r="AP635" s="24"/>
      <c r="AQ635" s="24"/>
      <c r="AR635" s="24"/>
      <c r="AS635" s="24"/>
      <c r="AT635" s="24"/>
      <c r="AU635" s="24"/>
      <c r="AV635" s="24"/>
      <c r="AW635" s="24"/>
      <c r="AX635" s="24"/>
      <c r="AY635" s="24"/>
      <c r="AZ635" s="24"/>
      <c r="BA635" s="24"/>
      <c r="BB635" s="24"/>
      <c r="BC635" s="24"/>
      <c r="BD635" s="24"/>
      <c r="BE635" s="24"/>
    </row>
    <row r="636" spans="36:57" ht="12.75">
      <c r="AJ636" s="24"/>
      <c r="AK636" s="24"/>
      <c r="AL636" s="24"/>
      <c r="AM636" s="24"/>
      <c r="AN636" s="24"/>
      <c r="AO636" s="24"/>
      <c r="AP636" s="24"/>
      <c r="AQ636" s="24"/>
      <c r="AR636" s="24"/>
      <c r="AS636" s="24"/>
      <c r="AT636" s="24"/>
      <c r="AU636" s="24"/>
      <c r="AV636" s="24"/>
      <c r="AW636" s="24"/>
      <c r="AX636" s="24"/>
      <c r="AY636" s="24"/>
      <c r="AZ636" s="24"/>
      <c r="BA636" s="24"/>
      <c r="BB636" s="24"/>
      <c r="BC636" s="24"/>
      <c r="BD636" s="24"/>
      <c r="BE636" s="24"/>
    </row>
    <row r="637" spans="36:57" ht="12.75">
      <c r="AJ637" s="24"/>
      <c r="AK637" s="24"/>
      <c r="AL637" s="24"/>
      <c r="AM637" s="24"/>
      <c r="AN637" s="24"/>
      <c r="AO637" s="24"/>
      <c r="AP637" s="24"/>
      <c r="AQ637" s="24"/>
      <c r="AR637" s="24"/>
      <c r="AS637" s="24"/>
      <c r="AT637" s="24"/>
      <c r="AU637" s="24"/>
      <c r="AV637" s="24"/>
      <c r="AW637" s="24"/>
      <c r="AX637" s="24"/>
      <c r="AY637" s="24"/>
      <c r="AZ637" s="24"/>
      <c r="BA637" s="24"/>
      <c r="BB637" s="24"/>
      <c r="BC637" s="24"/>
      <c r="BD637" s="24"/>
      <c r="BE637" s="24"/>
    </row>
    <row r="638" spans="36:57" ht="12.75">
      <c r="AJ638" s="24"/>
      <c r="AK638" s="24"/>
      <c r="AL638" s="24"/>
      <c r="AM638" s="24"/>
      <c r="AN638" s="24"/>
      <c r="AO638" s="24"/>
      <c r="AP638" s="24"/>
      <c r="AQ638" s="24"/>
      <c r="AR638" s="24"/>
      <c r="AS638" s="24"/>
      <c r="AT638" s="24"/>
      <c r="AU638" s="24"/>
      <c r="AV638" s="24"/>
      <c r="AW638" s="24"/>
      <c r="AX638" s="24"/>
      <c r="AY638" s="24"/>
      <c r="AZ638" s="24"/>
      <c r="BA638" s="24"/>
      <c r="BB638" s="24"/>
      <c r="BC638" s="24"/>
      <c r="BD638" s="24"/>
      <c r="BE638" s="24"/>
    </row>
    <row r="639" spans="36:57" ht="12.75">
      <c r="AJ639" s="24"/>
      <c r="AK639" s="24"/>
      <c r="AL639" s="24"/>
      <c r="AM639" s="24"/>
      <c r="AN639" s="24"/>
      <c r="AO639" s="24"/>
      <c r="AP639" s="24"/>
      <c r="AQ639" s="24"/>
      <c r="AR639" s="24"/>
      <c r="AS639" s="24"/>
      <c r="AT639" s="24"/>
      <c r="AU639" s="24"/>
      <c r="AV639" s="24"/>
      <c r="AW639" s="24"/>
      <c r="AX639" s="24"/>
      <c r="AY639" s="24"/>
      <c r="AZ639" s="24"/>
      <c r="BA639" s="24"/>
      <c r="BB639" s="24"/>
      <c r="BC639" s="24"/>
      <c r="BD639" s="24"/>
      <c r="BE639" s="24"/>
    </row>
    <row r="640" spans="36:57" ht="12.75">
      <c r="AJ640" s="24"/>
      <c r="AK640" s="24"/>
      <c r="AL640" s="24"/>
      <c r="AM640" s="24"/>
      <c r="AN640" s="24"/>
      <c r="AO640" s="24"/>
      <c r="AP640" s="24"/>
      <c r="AQ640" s="24"/>
      <c r="AR640" s="24"/>
      <c r="AS640" s="24"/>
      <c r="AT640" s="24"/>
      <c r="AU640" s="24"/>
      <c r="AV640" s="24"/>
      <c r="AW640" s="24"/>
      <c r="AX640" s="24"/>
      <c r="AY640" s="24"/>
      <c r="AZ640" s="24"/>
      <c r="BA640" s="24"/>
      <c r="BB640" s="24"/>
      <c r="BC640" s="24"/>
      <c r="BD640" s="24"/>
      <c r="BE640" s="24"/>
    </row>
    <row r="641" spans="36:57" ht="12.75">
      <c r="AJ641" s="24"/>
      <c r="AK641" s="24"/>
      <c r="AL641" s="24"/>
      <c r="AM641" s="24"/>
      <c r="AN641" s="24"/>
      <c r="AO641" s="24"/>
      <c r="AP641" s="24"/>
      <c r="AQ641" s="24"/>
      <c r="AR641" s="24"/>
      <c r="AS641" s="24"/>
      <c r="AT641" s="24"/>
      <c r="AU641" s="24"/>
      <c r="AV641" s="24"/>
      <c r="AW641" s="24"/>
      <c r="AX641" s="24"/>
      <c r="AY641" s="24"/>
      <c r="AZ641" s="24"/>
      <c r="BA641" s="24"/>
      <c r="BB641" s="24"/>
      <c r="BC641" s="24"/>
      <c r="BD641" s="24"/>
      <c r="BE641" s="24"/>
    </row>
    <row r="642" spans="36:57" ht="12.75">
      <c r="AJ642" s="24"/>
      <c r="AK642" s="24"/>
      <c r="AL642" s="24"/>
      <c r="AM642" s="24"/>
      <c r="AN642" s="24"/>
      <c r="AO642" s="24"/>
      <c r="AP642" s="24"/>
      <c r="AQ642" s="24"/>
      <c r="AR642" s="24"/>
      <c r="AS642" s="24"/>
      <c r="AT642" s="24"/>
      <c r="AU642" s="24"/>
      <c r="AV642" s="24"/>
      <c r="AW642" s="24"/>
      <c r="AX642" s="24"/>
      <c r="AY642" s="24"/>
      <c r="AZ642" s="24"/>
      <c r="BA642" s="24"/>
      <c r="BB642" s="24"/>
      <c r="BC642" s="24"/>
      <c r="BD642" s="24"/>
      <c r="BE642" s="24"/>
    </row>
    <row r="643" spans="36:57" ht="12.75">
      <c r="AJ643" s="24"/>
      <c r="AK643" s="24"/>
      <c r="AL643" s="24"/>
      <c r="AM643" s="24"/>
      <c r="AN643" s="24"/>
      <c r="AO643" s="24"/>
      <c r="AP643" s="24"/>
      <c r="AQ643" s="24"/>
      <c r="AR643" s="24"/>
      <c r="AS643" s="24"/>
      <c r="AT643" s="24"/>
      <c r="AU643" s="24"/>
      <c r="AV643" s="24"/>
      <c r="AW643" s="24"/>
      <c r="AX643" s="24"/>
      <c r="AY643" s="24"/>
      <c r="AZ643" s="24"/>
      <c r="BA643" s="24"/>
      <c r="BB643" s="24"/>
      <c r="BC643" s="24"/>
      <c r="BD643" s="24"/>
      <c r="BE643" s="24"/>
    </row>
    <row r="644" spans="36:57" ht="12.75">
      <c r="AJ644" s="24"/>
      <c r="AK644" s="24"/>
      <c r="AL644" s="24"/>
      <c r="AM644" s="24"/>
      <c r="AN644" s="24"/>
      <c r="AO644" s="24"/>
      <c r="AP644" s="24"/>
      <c r="AQ644" s="24"/>
      <c r="AR644" s="24"/>
      <c r="AS644" s="24"/>
      <c r="AT644" s="24"/>
      <c r="AU644" s="24"/>
      <c r="AV644" s="24"/>
      <c r="AW644" s="24"/>
      <c r="AX644" s="24"/>
      <c r="AY644" s="24"/>
      <c r="AZ644" s="24"/>
      <c r="BA644" s="24"/>
      <c r="BB644" s="24"/>
      <c r="BC644" s="24"/>
      <c r="BD644" s="24"/>
      <c r="BE644" s="24"/>
    </row>
    <row r="645" spans="36:57" ht="12.75">
      <c r="AJ645" s="24"/>
      <c r="AK645" s="24"/>
      <c r="AL645" s="24"/>
      <c r="AM645" s="24"/>
      <c r="AN645" s="24"/>
      <c r="AO645" s="24"/>
      <c r="AP645" s="24"/>
      <c r="AQ645" s="24"/>
      <c r="AR645" s="24"/>
      <c r="AS645" s="24"/>
      <c r="AT645" s="24"/>
      <c r="AU645" s="24"/>
      <c r="AV645" s="24"/>
      <c r="AW645" s="24"/>
      <c r="AX645" s="24"/>
      <c r="AY645" s="24"/>
      <c r="AZ645" s="24"/>
      <c r="BA645" s="24"/>
      <c r="BB645" s="24"/>
      <c r="BC645" s="24"/>
      <c r="BD645" s="24"/>
      <c r="BE645" s="24"/>
    </row>
    <row r="646" spans="36:57" ht="12.75">
      <c r="AJ646" s="24"/>
      <c r="AK646" s="24"/>
      <c r="AL646" s="24"/>
      <c r="AM646" s="24"/>
      <c r="AN646" s="24"/>
      <c r="AO646" s="24"/>
      <c r="AP646" s="24"/>
      <c r="AQ646" s="24"/>
      <c r="AR646" s="24"/>
      <c r="AS646" s="24"/>
      <c r="AT646" s="24"/>
      <c r="AU646" s="24"/>
      <c r="AV646" s="24"/>
      <c r="AW646" s="24"/>
      <c r="AX646" s="24"/>
      <c r="AY646" s="24"/>
      <c r="AZ646" s="24"/>
      <c r="BA646" s="24"/>
      <c r="BB646" s="24"/>
      <c r="BC646" s="24"/>
      <c r="BD646" s="24"/>
      <c r="BE646" s="24"/>
    </row>
    <row r="647" spans="36:57" ht="12.75">
      <c r="AJ647" s="24"/>
      <c r="AK647" s="24"/>
      <c r="AL647" s="24"/>
      <c r="AM647" s="24"/>
      <c r="AN647" s="24"/>
      <c r="AO647" s="24"/>
      <c r="AP647" s="24"/>
      <c r="AQ647" s="24"/>
      <c r="AR647" s="24"/>
      <c r="AS647" s="24"/>
      <c r="AT647" s="24"/>
      <c r="AU647" s="24"/>
      <c r="AV647" s="24"/>
      <c r="AW647" s="24"/>
      <c r="AX647" s="24"/>
      <c r="AY647" s="24"/>
      <c r="AZ647" s="24"/>
      <c r="BA647" s="24"/>
      <c r="BB647" s="24"/>
      <c r="BC647" s="24"/>
      <c r="BD647" s="24"/>
      <c r="BE647" s="24"/>
    </row>
    <row r="648" spans="36:57" ht="12.75">
      <c r="AJ648" s="24"/>
      <c r="AK648" s="24"/>
      <c r="AL648" s="24"/>
      <c r="AM648" s="24"/>
      <c r="AN648" s="24"/>
      <c r="AO648" s="24"/>
      <c r="AP648" s="24"/>
      <c r="AQ648" s="24"/>
      <c r="AR648" s="24"/>
      <c r="AS648" s="24"/>
      <c r="AT648" s="24"/>
      <c r="AU648" s="24"/>
      <c r="AV648" s="24"/>
      <c r="AW648" s="24"/>
      <c r="AX648" s="24"/>
      <c r="AY648" s="24"/>
      <c r="AZ648" s="24"/>
      <c r="BA648" s="24"/>
      <c r="BB648" s="24"/>
      <c r="BC648" s="24"/>
      <c r="BD648" s="24"/>
      <c r="BE648" s="24"/>
    </row>
    <row r="649" spans="36:57" ht="12.75">
      <c r="AJ649" s="24"/>
      <c r="AK649" s="24"/>
      <c r="AL649" s="24"/>
      <c r="AM649" s="24"/>
      <c r="AN649" s="24"/>
      <c r="AO649" s="24"/>
      <c r="AP649" s="24"/>
      <c r="AQ649" s="24"/>
      <c r="AR649" s="24"/>
      <c r="AS649" s="24"/>
      <c r="AT649" s="24"/>
      <c r="AU649" s="24"/>
      <c r="AV649" s="24"/>
      <c r="AW649" s="24"/>
      <c r="AX649" s="24"/>
      <c r="AY649" s="24"/>
      <c r="AZ649" s="24"/>
      <c r="BA649" s="24"/>
      <c r="BB649" s="24"/>
      <c r="BC649" s="24"/>
      <c r="BD649" s="24"/>
      <c r="BE649" s="24"/>
    </row>
  </sheetData>
  <sheetProtection/>
  <mergeCells count="41">
    <mergeCell ref="AP5:AW5"/>
    <mergeCell ref="V5:AB5"/>
    <mergeCell ref="D2:AC2"/>
    <mergeCell ref="D3:AC3"/>
    <mergeCell ref="BJ5:BJ6"/>
    <mergeCell ref="BH2:BN2"/>
    <mergeCell ref="BH3:BN3"/>
    <mergeCell ref="BI5:BI6"/>
    <mergeCell ref="BL5:BN5"/>
    <mergeCell ref="AI5:AI6"/>
    <mergeCell ref="BK5:BK6"/>
    <mergeCell ref="AX5:BE5"/>
    <mergeCell ref="BH5:BH6"/>
    <mergeCell ref="AF5:AF6"/>
    <mergeCell ref="AG5:AG6"/>
    <mergeCell ref="AH5:AH6"/>
    <mergeCell ref="AJ5:AO5"/>
    <mergeCell ref="N5:U5"/>
    <mergeCell ref="AJ105:AO105"/>
    <mergeCell ref="B5:B6"/>
    <mergeCell ref="E105:E106"/>
    <mergeCell ref="F105:G105"/>
    <mergeCell ref="H105:M105"/>
    <mergeCell ref="C5:C6"/>
    <mergeCell ref="N105:U105"/>
    <mergeCell ref="D5:D6"/>
    <mergeCell ref="E5:E6"/>
    <mergeCell ref="F5:G5"/>
    <mergeCell ref="H5:M5"/>
    <mergeCell ref="V105:AB105"/>
    <mergeCell ref="AF105:AF106"/>
    <mergeCell ref="AG105:AG106"/>
    <mergeCell ref="AH105:AH106"/>
    <mergeCell ref="AI105:AI106"/>
    <mergeCell ref="AP105:AW105"/>
    <mergeCell ref="BK105:BK106"/>
    <mergeCell ref="BL105:BN105"/>
    <mergeCell ref="AX105:BE105"/>
    <mergeCell ref="BH105:BH106"/>
    <mergeCell ref="BI105:BI106"/>
    <mergeCell ref="BJ105:BJ106"/>
  </mergeCells>
  <printOptions/>
  <pageMargins left="0.3" right="0.12" top="0.67" bottom="0.41" header="0.41" footer="0.22"/>
  <pageSetup horizontalDpi="600" verticalDpi="600" orientation="landscape" scale="65" r:id="rId2"/>
  <headerFooter alignWithMargins="0">
    <oddHeader>&amp;CANEXO No 1
PORCENTAJE DE HOGARES SEGUN DISPONIBILIDAD DE SERVICIOS BÁSICOS POR MUNICIPIO, 2004
</oddHeader>
    <oddFooter>&amp;C&amp;P</oddFooter>
  </headerFooter>
  <drawing r:id="rId1"/>
</worksheet>
</file>

<file path=xl/worksheets/sheet10.xml><?xml version="1.0" encoding="utf-8"?>
<worksheet xmlns="http://schemas.openxmlformats.org/spreadsheetml/2006/main" xmlns:r="http://schemas.openxmlformats.org/officeDocument/2006/relationships">
  <dimension ref="A1:AG47"/>
  <sheetViews>
    <sheetView zoomScalePageLayoutView="0" workbookViewId="0" topLeftCell="A1">
      <selection activeCell="A1" sqref="A1"/>
    </sheetView>
  </sheetViews>
  <sheetFormatPr defaultColWidth="9.140625" defaultRowHeight="12.75"/>
  <cols>
    <col min="1" max="1" width="8.8515625" style="413" customWidth="1"/>
    <col min="2" max="2" width="0.85546875" style="413" customWidth="1"/>
    <col min="3" max="3" width="42.00390625" style="413" customWidth="1"/>
    <col min="4" max="4" width="12.140625" style="413" customWidth="1"/>
    <col min="5" max="5" width="0.9921875" style="413" customWidth="1"/>
    <col min="6" max="6" width="16.8515625" style="413" customWidth="1"/>
    <col min="7" max="7" width="16.421875" style="413" customWidth="1"/>
    <col min="8" max="9" width="11.7109375" style="413" customWidth="1"/>
    <col min="10" max="10" width="1.1484375" style="413" customWidth="1"/>
    <col min="11" max="12" width="9.140625" style="413" customWidth="1"/>
    <col min="13" max="13" width="11.140625" style="413" bestFit="1" customWidth="1"/>
    <col min="14" max="15" width="13.8515625" style="413" bestFit="1" customWidth="1"/>
    <col min="16" max="16" width="12.140625" style="413" bestFit="1" customWidth="1"/>
    <col min="17" max="16384" width="9.140625" style="413" customWidth="1"/>
  </cols>
  <sheetData>
    <row r="1" spans="1:33" ht="15">
      <c r="A1" s="409"/>
      <c r="B1" s="410"/>
      <c r="C1" s="411"/>
      <c r="D1" s="410"/>
      <c r="E1" s="412"/>
      <c r="F1" s="411"/>
      <c r="G1" s="411"/>
      <c r="H1" s="411"/>
      <c r="I1" s="411"/>
      <c r="J1" s="410"/>
      <c r="K1" s="409"/>
      <c r="L1" s="409"/>
      <c r="M1" s="409"/>
      <c r="N1" s="409"/>
      <c r="O1" s="409"/>
      <c r="P1" s="409"/>
      <c r="Q1" s="409"/>
      <c r="R1" s="409"/>
      <c r="S1" s="409"/>
      <c r="T1" s="409"/>
      <c r="U1" s="409"/>
      <c r="V1" s="409"/>
      <c r="W1" s="409"/>
      <c r="X1" s="409"/>
      <c r="Y1" s="409"/>
      <c r="Z1" s="409"/>
      <c r="AA1" s="409"/>
      <c r="AB1" s="409"/>
      <c r="AC1" s="409"/>
      <c r="AD1" s="409"/>
      <c r="AE1" s="409"/>
      <c r="AF1" s="409"/>
      <c r="AG1" s="409"/>
    </row>
    <row r="2" spans="1:33" ht="15.75">
      <c r="A2" s="409"/>
      <c r="B2" s="410"/>
      <c r="C2" s="411"/>
      <c r="D2" s="410"/>
      <c r="E2" s="414"/>
      <c r="F2" s="411"/>
      <c r="G2" s="411"/>
      <c r="H2" s="411"/>
      <c r="I2" s="411"/>
      <c r="J2" s="410"/>
      <c r="K2" s="409"/>
      <c r="L2" s="409"/>
      <c r="M2" s="409"/>
      <c r="N2" s="409"/>
      <c r="O2" s="409"/>
      <c r="P2" s="409"/>
      <c r="Q2" s="409"/>
      <c r="R2" s="409"/>
      <c r="S2" s="409"/>
      <c r="T2" s="409"/>
      <c r="U2" s="409"/>
      <c r="V2" s="409"/>
      <c r="W2" s="409"/>
      <c r="X2" s="409"/>
      <c r="Y2" s="409"/>
      <c r="Z2" s="409"/>
      <c r="AA2" s="409"/>
      <c r="AB2" s="409"/>
      <c r="AC2" s="409"/>
      <c r="AD2" s="409"/>
      <c r="AE2" s="409"/>
      <c r="AF2" s="409"/>
      <c r="AG2" s="409"/>
    </row>
    <row r="3" spans="1:33" ht="15">
      <c r="A3" s="409"/>
      <c r="B3" s="412"/>
      <c r="C3" s="412"/>
      <c r="D3" s="410"/>
      <c r="E3" s="410"/>
      <c r="F3" s="410"/>
      <c r="G3" s="410"/>
      <c r="H3" s="410"/>
      <c r="I3" s="410"/>
      <c r="J3" s="410"/>
      <c r="K3" s="409"/>
      <c r="L3" s="409"/>
      <c r="M3" s="409"/>
      <c r="N3" s="409"/>
      <c r="O3" s="409"/>
      <c r="P3" s="409"/>
      <c r="Q3" s="409"/>
      <c r="R3" s="409"/>
      <c r="S3" s="409"/>
      <c r="T3" s="409"/>
      <c r="U3" s="409"/>
      <c r="V3" s="409"/>
      <c r="W3" s="409"/>
      <c r="X3" s="409"/>
      <c r="Y3" s="409"/>
      <c r="Z3" s="409"/>
      <c r="AA3" s="409"/>
      <c r="AB3" s="409"/>
      <c r="AC3" s="409"/>
      <c r="AD3" s="409"/>
      <c r="AE3" s="409"/>
      <c r="AF3" s="409"/>
      <c r="AG3" s="409"/>
    </row>
    <row r="4" spans="1:33" ht="20.25">
      <c r="A4" s="409"/>
      <c r="B4" s="412"/>
      <c r="C4" s="412"/>
      <c r="E4" s="415"/>
      <c r="F4" s="415"/>
      <c r="G4" s="415"/>
      <c r="H4" s="415"/>
      <c r="I4" s="415"/>
      <c r="J4" s="415"/>
      <c r="K4" s="409"/>
      <c r="L4" s="409"/>
      <c r="M4" s="409"/>
      <c r="N4" s="409"/>
      <c r="O4" s="409"/>
      <c r="P4" s="409"/>
      <c r="Q4" s="409"/>
      <c r="R4" s="409"/>
      <c r="S4" s="409"/>
      <c r="T4" s="409"/>
      <c r="U4" s="409"/>
      <c r="V4" s="409"/>
      <c r="W4" s="409"/>
      <c r="X4" s="409"/>
      <c r="Y4" s="409"/>
      <c r="Z4" s="409"/>
      <c r="AA4" s="409"/>
      <c r="AB4" s="409"/>
      <c r="AC4" s="409"/>
      <c r="AD4" s="409"/>
      <c r="AE4" s="409"/>
      <c r="AF4" s="409"/>
      <c r="AG4" s="409"/>
    </row>
    <row r="5" spans="1:33" ht="20.25">
      <c r="A5" s="409"/>
      <c r="B5" s="410"/>
      <c r="C5" s="411"/>
      <c r="D5" s="546" t="s">
        <v>486</v>
      </c>
      <c r="E5" s="547"/>
      <c r="F5" s="547"/>
      <c r="G5" s="547"/>
      <c r="H5" s="547"/>
      <c r="I5" s="547"/>
      <c r="J5" s="410"/>
      <c r="K5" s="409"/>
      <c r="L5" s="409"/>
      <c r="M5" s="409"/>
      <c r="N5" s="409"/>
      <c r="O5" s="409"/>
      <c r="P5" s="409"/>
      <c r="Q5" s="409"/>
      <c r="R5" s="409"/>
      <c r="S5" s="409"/>
      <c r="T5" s="409"/>
      <c r="U5" s="409"/>
      <c r="V5" s="409"/>
      <c r="W5" s="409"/>
      <c r="X5" s="409"/>
      <c r="Y5" s="409"/>
      <c r="Z5" s="409"/>
      <c r="AA5" s="409"/>
      <c r="AB5" s="409"/>
      <c r="AC5" s="409"/>
      <c r="AD5" s="409"/>
      <c r="AE5" s="409"/>
      <c r="AF5" s="409"/>
      <c r="AG5" s="409"/>
    </row>
    <row r="6" spans="1:33" ht="15.75">
      <c r="A6" s="409"/>
      <c r="B6" s="410"/>
      <c r="C6" s="411"/>
      <c r="D6" s="416"/>
      <c r="E6" s="417"/>
      <c r="F6" s="412"/>
      <c r="G6" s="418"/>
      <c r="H6" s="418"/>
      <c r="I6" s="418"/>
      <c r="J6" s="410"/>
      <c r="K6" s="409"/>
      <c r="L6" s="409"/>
      <c r="M6" s="409"/>
      <c r="N6" s="409"/>
      <c r="O6" s="409"/>
      <c r="P6" s="409"/>
      <c r="Q6" s="409"/>
      <c r="R6" s="409"/>
      <c r="S6" s="409"/>
      <c r="T6" s="409"/>
      <c r="U6" s="409"/>
      <c r="V6" s="409"/>
      <c r="W6" s="409"/>
      <c r="X6" s="409"/>
      <c r="Y6" s="409"/>
      <c r="Z6" s="409"/>
      <c r="AA6" s="409"/>
      <c r="AB6" s="409"/>
      <c r="AC6" s="409"/>
      <c r="AD6" s="409"/>
      <c r="AE6" s="409"/>
      <c r="AF6" s="409"/>
      <c r="AG6" s="409"/>
    </row>
    <row r="7" spans="1:33" ht="15.75">
      <c r="A7" s="409"/>
      <c r="B7" s="410"/>
      <c r="C7" s="548" t="s">
        <v>487</v>
      </c>
      <c r="D7" s="548"/>
      <c r="E7" s="548"/>
      <c r="F7" s="548"/>
      <c r="G7" s="548"/>
      <c r="H7" s="548"/>
      <c r="I7" s="548"/>
      <c r="J7" s="410"/>
      <c r="K7" s="409"/>
      <c r="L7" s="409"/>
      <c r="M7" s="409"/>
      <c r="N7" s="409"/>
      <c r="O7" s="409"/>
      <c r="P7" s="409"/>
      <c r="Q7" s="409"/>
      <c r="R7" s="409"/>
      <c r="S7" s="409"/>
      <c r="T7" s="409"/>
      <c r="U7" s="409"/>
      <c r="V7" s="409"/>
      <c r="W7" s="409"/>
      <c r="X7" s="409"/>
      <c r="Y7" s="409"/>
      <c r="Z7" s="409"/>
      <c r="AA7" s="409"/>
      <c r="AB7" s="409"/>
      <c r="AC7" s="409"/>
      <c r="AD7" s="409"/>
      <c r="AE7" s="409"/>
      <c r="AF7" s="409"/>
      <c r="AG7" s="409"/>
    </row>
    <row r="8" spans="1:33" ht="15.75" thickBot="1">
      <c r="A8" s="409"/>
      <c r="B8" s="410"/>
      <c r="C8" s="549" t="s">
        <v>488</v>
      </c>
      <c r="D8" s="549"/>
      <c r="E8" s="549"/>
      <c r="F8" s="549"/>
      <c r="G8" s="549"/>
      <c r="H8" s="549"/>
      <c r="I8" s="549"/>
      <c r="J8" s="410"/>
      <c r="K8" s="409"/>
      <c r="L8" s="409"/>
      <c r="M8" s="409"/>
      <c r="N8" s="409"/>
      <c r="O8" s="409"/>
      <c r="P8" s="409"/>
      <c r="Q8" s="409"/>
      <c r="R8" s="409"/>
      <c r="S8" s="409"/>
      <c r="T8" s="409"/>
      <c r="U8" s="409"/>
      <c r="V8" s="409"/>
      <c r="W8" s="409"/>
      <c r="X8" s="409"/>
      <c r="Y8" s="409"/>
      <c r="Z8" s="409"/>
      <c r="AA8" s="409"/>
      <c r="AB8" s="409"/>
      <c r="AC8" s="409"/>
      <c r="AD8" s="409"/>
      <c r="AE8" s="409"/>
      <c r="AF8" s="409"/>
      <c r="AG8" s="409"/>
    </row>
    <row r="9" spans="1:33" ht="3.75" customHeight="1">
      <c r="A9" s="409"/>
      <c r="B9" s="419"/>
      <c r="C9" s="420"/>
      <c r="D9" s="421"/>
      <c r="E9" s="422"/>
      <c r="F9" s="422"/>
      <c r="G9" s="422"/>
      <c r="H9" s="422"/>
      <c r="I9" s="422"/>
      <c r="J9" s="423"/>
      <c r="K9" s="409"/>
      <c r="L9" s="409"/>
      <c r="M9" s="409"/>
      <c r="N9" s="409"/>
      <c r="O9" s="409"/>
      <c r="P9" s="409"/>
      <c r="Q9" s="409"/>
      <c r="R9" s="409"/>
      <c r="S9" s="409"/>
      <c r="T9" s="409"/>
      <c r="U9" s="409"/>
      <c r="V9" s="409"/>
      <c r="W9" s="409"/>
      <c r="X9" s="409"/>
      <c r="Y9" s="409"/>
      <c r="Z9" s="409"/>
      <c r="AA9" s="409"/>
      <c r="AB9" s="409"/>
      <c r="AC9" s="409"/>
      <c r="AD9" s="409"/>
      <c r="AE9" s="409"/>
      <c r="AF9" s="409"/>
      <c r="AG9" s="409"/>
    </row>
    <row r="10" spans="1:33" ht="15">
      <c r="A10" s="409"/>
      <c r="B10" s="424"/>
      <c r="C10" s="425" t="s">
        <v>489</v>
      </c>
      <c r="D10" s="426">
        <v>4.5</v>
      </c>
      <c r="E10" s="427"/>
      <c r="J10" s="428"/>
      <c r="K10" s="409"/>
      <c r="L10" s="409"/>
      <c r="M10" s="409"/>
      <c r="N10" s="409"/>
      <c r="O10" s="409"/>
      <c r="P10" s="409"/>
      <c r="Q10" s="409"/>
      <c r="R10" s="409"/>
      <c r="S10" s="409"/>
      <c r="T10" s="409"/>
      <c r="U10" s="409"/>
      <c r="V10" s="409"/>
      <c r="W10" s="409"/>
      <c r="X10" s="409"/>
      <c r="Y10" s="409"/>
      <c r="Z10" s="409"/>
      <c r="AA10" s="409"/>
      <c r="AB10" s="409"/>
      <c r="AC10" s="409"/>
      <c r="AD10" s="409"/>
      <c r="AE10" s="409"/>
      <c r="AF10" s="409"/>
      <c r="AG10" s="409"/>
    </row>
    <row r="11" spans="1:33" ht="15">
      <c r="A11" s="409"/>
      <c r="B11" s="424"/>
      <c r="C11" s="425" t="s">
        <v>490</v>
      </c>
      <c r="D11" s="501">
        <f>'ERR &amp; Sensitivity Analysis'!$G$23</f>
        <v>0.121</v>
      </c>
      <c r="E11" s="427"/>
      <c r="F11" s="427"/>
      <c r="G11" s="427"/>
      <c r="H11" s="427"/>
      <c r="I11" s="427"/>
      <c r="J11" s="428"/>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row>
    <row r="12" spans="1:33" ht="17.25" customHeight="1">
      <c r="A12" s="409"/>
      <c r="B12" s="424"/>
      <c r="C12" s="425" t="s">
        <v>491</v>
      </c>
      <c r="D12" s="426">
        <v>3.995958719968502</v>
      </c>
      <c r="E12" s="427"/>
      <c r="F12" s="427"/>
      <c r="G12" s="427"/>
      <c r="H12" s="427"/>
      <c r="I12" s="427"/>
      <c r="J12" s="428"/>
      <c r="K12" s="409"/>
      <c r="L12" s="409"/>
      <c r="M12" s="409"/>
      <c r="N12" s="409"/>
      <c r="O12" s="409"/>
      <c r="P12" s="409"/>
      <c r="Q12" s="409"/>
      <c r="R12" s="409"/>
      <c r="S12" s="409"/>
      <c r="T12" s="409"/>
      <c r="U12" s="409"/>
      <c r="V12" s="409"/>
      <c r="W12" s="409"/>
      <c r="X12" s="409"/>
      <c r="Y12" s="409"/>
      <c r="Z12" s="409"/>
      <c r="AA12" s="409"/>
      <c r="AB12" s="409"/>
      <c r="AC12" s="409"/>
      <c r="AD12" s="409"/>
      <c r="AE12" s="409"/>
      <c r="AF12" s="409"/>
      <c r="AG12" s="409"/>
    </row>
    <row r="13" spans="1:33" ht="15">
      <c r="A13" s="409"/>
      <c r="B13" s="424"/>
      <c r="C13" s="429" t="s">
        <v>492</v>
      </c>
      <c r="D13" s="430">
        <v>2.909252425544144</v>
      </c>
      <c r="E13" s="429"/>
      <c r="G13" s="427"/>
      <c r="H13" s="427"/>
      <c r="I13" s="427"/>
      <c r="J13" s="428"/>
      <c r="K13" s="409"/>
      <c r="L13" s="409"/>
      <c r="M13" s="409"/>
      <c r="N13" s="409"/>
      <c r="O13" s="409"/>
      <c r="P13" s="409"/>
      <c r="Q13" s="409"/>
      <c r="R13" s="409"/>
      <c r="S13" s="409"/>
      <c r="T13" s="409"/>
      <c r="U13" s="409"/>
      <c r="V13" s="409"/>
      <c r="W13" s="409"/>
      <c r="X13" s="409"/>
      <c r="Y13" s="409"/>
      <c r="Z13" s="409"/>
      <c r="AA13" s="409"/>
      <c r="AB13" s="409"/>
      <c r="AC13" s="409"/>
      <c r="AD13" s="409"/>
      <c r="AE13" s="409"/>
      <c r="AF13" s="409"/>
      <c r="AG13" s="409"/>
    </row>
    <row r="14" spans="1:33" ht="12.75" customHeight="1">
      <c r="A14" s="409"/>
      <c r="B14" s="424"/>
      <c r="C14" s="431"/>
      <c r="D14" s="432"/>
      <c r="E14" s="432"/>
      <c r="F14" s="550" t="s">
        <v>493</v>
      </c>
      <c r="G14" s="550"/>
      <c r="H14" s="550"/>
      <c r="I14" s="550"/>
      <c r="J14" s="428"/>
      <c r="K14" s="409"/>
      <c r="L14" s="409"/>
      <c r="M14" s="409"/>
      <c r="N14" s="409"/>
      <c r="O14" s="409"/>
      <c r="P14" s="409"/>
      <c r="Q14" s="409"/>
      <c r="R14" s="409"/>
      <c r="S14" s="409"/>
      <c r="T14" s="409"/>
      <c r="U14" s="409"/>
      <c r="V14" s="409"/>
      <c r="W14" s="409"/>
      <c r="X14" s="409"/>
      <c r="Y14" s="409"/>
      <c r="Z14" s="409"/>
      <c r="AA14" s="409"/>
      <c r="AB14" s="409"/>
      <c r="AC14" s="409"/>
      <c r="AD14" s="409"/>
      <c r="AE14" s="409"/>
      <c r="AF14" s="409"/>
      <c r="AG14" s="409"/>
    </row>
    <row r="15" spans="1:33" ht="15">
      <c r="A15" s="409"/>
      <c r="B15" s="424"/>
      <c r="C15" s="433" t="s">
        <v>479</v>
      </c>
      <c r="D15" s="434" t="s">
        <v>1</v>
      </c>
      <c r="E15" s="435"/>
      <c r="F15" s="434" t="s">
        <v>494</v>
      </c>
      <c r="G15" s="434" t="s">
        <v>495</v>
      </c>
      <c r="H15" s="434" t="s">
        <v>496</v>
      </c>
      <c r="I15" s="434" t="s">
        <v>497</v>
      </c>
      <c r="J15" s="428"/>
      <c r="K15" s="409"/>
      <c r="L15" s="409"/>
      <c r="M15" s="409"/>
      <c r="N15" s="409"/>
      <c r="O15" s="409"/>
      <c r="P15" s="409"/>
      <c r="Q15" s="409"/>
      <c r="R15" s="409"/>
      <c r="S15" s="409"/>
      <c r="T15" s="409"/>
      <c r="U15" s="409"/>
      <c r="V15" s="409"/>
      <c r="W15" s="409"/>
      <c r="X15" s="409"/>
      <c r="Y15" s="409"/>
      <c r="Z15" s="409"/>
      <c r="AA15" s="409"/>
      <c r="AB15" s="409"/>
      <c r="AC15" s="409"/>
      <c r="AD15" s="409"/>
      <c r="AE15" s="409"/>
      <c r="AF15" s="409"/>
      <c r="AG15" s="409"/>
    </row>
    <row r="16" spans="1:33" ht="7.5" customHeight="1">
      <c r="A16" s="409"/>
      <c r="B16" s="424"/>
      <c r="C16" s="436"/>
      <c r="D16" s="437"/>
      <c r="E16" s="438"/>
      <c r="F16" s="437"/>
      <c r="G16" s="437"/>
      <c r="H16" s="437"/>
      <c r="I16" s="437"/>
      <c r="J16" s="428"/>
      <c r="K16" s="409"/>
      <c r="L16" s="409"/>
      <c r="M16" s="409"/>
      <c r="N16" s="409"/>
      <c r="O16" s="409"/>
      <c r="P16" s="409"/>
      <c r="Q16" s="409"/>
      <c r="R16" s="409"/>
      <c r="S16" s="409"/>
      <c r="T16" s="409"/>
      <c r="U16" s="409"/>
      <c r="V16" s="409"/>
      <c r="W16" s="409"/>
      <c r="X16" s="409"/>
      <c r="Y16" s="409"/>
      <c r="Z16" s="409"/>
      <c r="AA16" s="409"/>
      <c r="AB16" s="409"/>
      <c r="AC16" s="409"/>
      <c r="AD16" s="409"/>
      <c r="AE16" s="409"/>
      <c r="AF16" s="409"/>
      <c r="AG16" s="409"/>
    </row>
    <row r="17" spans="1:33" ht="15">
      <c r="A17" s="409"/>
      <c r="B17" s="424"/>
      <c r="C17" s="427" t="s">
        <v>498</v>
      </c>
      <c r="D17" s="439">
        <f>D18/4.41</f>
        <v>5275.92</v>
      </c>
      <c r="E17" s="440"/>
      <c r="F17" s="441"/>
      <c r="G17" s="441"/>
      <c r="H17" s="441"/>
      <c r="I17" s="441"/>
      <c r="J17" s="428"/>
      <c r="K17" s="409"/>
      <c r="L17" s="409"/>
      <c r="M17" s="409"/>
      <c r="N17" s="409"/>
      <c r="O17" s="409"/>
      <c r="P17" s="409"/>
      <c r="Q17" s="409"/>
      <c r="R17" s="409"/>
      <c r="S17" s="409"/>
      <c r="T17" s="409"/>
      <c r="U17" s="409"/>
      <c r="V17" s="409"/>
      <c r="W17" s="409"/>
      <c r="X17" s="409"/>
      <c r="Y17" s="409"/>
      <c r="Z17" s="409"/>
      <c r="AA17" s="409"/>
      <c r="AB17" s="409"/>
      <c r="AC17" s="409"/>
      <c r="AD17" s="409"/>
      <c r="AE17" s="409"/>
      <c r="AF17" s="409"/>
      <c r="AG17" s="409"/>
    </row>
    <row r="18" spans="1:33" ht="18" customHeight="1">
      <c r="A18" s="409"/>
      <c r="B18" s="424"/>
      <c r="C18" s="442" t="s">
        <v>508</v>
      </c>
      <c r="D18" s="439">
        <v>23266.8072</v>
      </c>
      <c r="E18" s="440"/>
      <c r="F18" s="443"/>
      <c r="G18" s="443"/>
      <c r="H18" s="443"/>
      <c r="I18" s="443"/>
      <c r="J18" s="428"/>
      <c r="K18" s="409"/>
      <c r="L18" s="410"/>
      <c r="M18" s="409"/>
      <c r="N18" s="409"/>
      <c r="O18" s="409"/>
      <c r="P18" s="409"/>
      <c r="Q18" s="409"/>
      <c r="R18" s="409"/>
      <c r="S18" s="409"/>
      <c r="T18" s="409"/>
      <c r="U18" s="409"/>
      <c r="V18" s="409"/>
      <c r="W18" s="409"/>
      <c r="X18" s="409"/>
      <c r="Y18" s="409"/>
      <c r="Z18" s="409"/>
      <c r="AA18" s="409"/>
      <c r="AB18" s="409"/>
      <c r="AC18" s="409"/>
      <c r="AD18" s="409"/>
      <c r="AE18" s="409"/>
      <c r="AF18" s="409"/>
      <c r="AG18" s="409"/>
    </row>
    <row r="19" spans="1:33" ht="18" customHeight="1">
      <c r="A19" s="409"/>
      <c r="B19" s="424"/>
      <c r="C19" s="442" t="s">
        <v>509</v>
      </c>
      <c r="D19" s="439">
        <v>6780000</v>
      </c>
      <c r="E19" s="440"/>
      <c r="F19" s="444"/>
      <c r="G19" s="444"/>
      <c r="H19" s="444"/>
      <c r="I19" s="444"/>
      <c r="J19" s="428"/>
      <c r="K19" s="409"/>
      <c r="L19" s="409"/>
      <c r="M19" s="409"/>
      <c r="N19" s="409"/>
      <c r="O19" s="409"/>
      <c r="P19" s="409"/>
      <c r="Q19" s="409"/>
      <c r="R19" s="409"/>
      <c r="S19" s="409"/>
      <c r="T19" s="409"/>
      <c r="U19" s="409"/>
      <c r="V19" s="409"/>
      <c r="W19" s="409"/>
      <c r="X19" s="409"/>
      <c r="Y19" s="409"/>
      <c r="Z19" s="409"/>
      <c r="AA19" s="409"/>
      <c r="AB19" s="409"/>
      <c r="AC19" s="409"/>
      <c r="AD19" s="409"/>
      <c r="AE19" s="409"/>
      <c r="AF19" s="409"/>
      <c r="AG19" s="409"/>
    </row>
    <row r="20" spans="1:33" ht="16.5" customHeight="1">
      <c r="A20" s="409"/>
      <c r="B20" s="424"/>
      <c r="C20" s="442" t="s">
        <v>510</v>
      </c>
      <c r="D20" s="445"/>
      <c r="E20" s="440"/>
      <c r="F20" s="446">
        <v>0.8953229398663697</v>
      </c>
      <c r="G20" s="446">
        <v>0.9131403118040089</v>
      </c>
      <c r="H20" s="446">
        <v>0.0378619153674833</v>
      </c>
      <c r="I20" s="446">
        <v>0.04899777282850779</v>
      </c>
      <c r="J20" s="447"/>
      <c r="K20" s="409"/>
      <c r="L20" s="409"/>
      <c r="M20" s="409"/>
      <c r="N20" s="409"/>
      <c r="O20" s="409"/>
      <c r="P20" s="409"/>
      <c r="Q20" s="409"/>
      <c r="R20" s="409"/>
      <c r="S20" s="409"/>
      <c r="T20" s="409"/>
      <c r="U20" s="409"/>
      <c r="V20" s="409"/>
      <c r="W20" s="409"/>
      <c r="X20" s="409"/>
      <c r="Y20" s="409"/>
      <c r="Z20" s="409"/>
      <c r="AA20" s="409"/>
      <c r="AB20" s="409"/>
      <c r="AC20" s="409"/>
      <c r="AD20" s="409"/>
      <c r="AE20" s="409"/>
      <c r="AF20" s="409"/>
      <c r="AG20" s="409"/>
    </row>
    <row r="21" spans="1:33" ht="18" customHeight="1">
      <c r="A21" s="409"/>
      <c r="B21" s="424"/>
      <c r="C21" s="448" t="s">
        <v>511</v>
      </c>
      <c r="D21" s="449"/>
      <c r="E21" s="450"/>
      <c r="F21" s="451">
        <v>0.335</v>
      </c>
      <c r="G21" s="451">
        <v>0.6036</v>
      </c>
      <c r="H21" s="451">
        <v>0.2894</v>
      </c>
      <c r="I21" s="451">
        <v>0.10699999999999998</v>
      </c>
      <c r="J21" s="428"/>
      <c r="K21" s="409"/>
      <c r="L21" s="452"/>
      <c r="M21" s="409"/>
      <c r="N21" s="409"/>
      <c r="O21" s="409"/>
      <c r="P21" s="409"/>
      <c r="Q21" s="409"/>
      <c r="R21" s="409"/>
      <c r="S21" s="409"/>
      <c r="T21" s="409"/>
      <c r="U21" s="409"/>
      <c r="V21" s="409"/>
      <c r="W21" s="409"/>
      <c r="X21" s="409"/>
      <c r="Y21" s="409"/>
      <c r="Z21" s="409"/>
      <c r="AA21" s="409"/>
      <c r="AB21" s="409"/>
      <c r="AC21" s="409"/>
      <c r="AD21" s="409"/>
      <c r="AE21" s="409"/>
      <c r="AF21" s="409"/>
      <c r="AG21" s="409"/>
    </row>
    <row r="22" spans="1:33" ht="6" customHeight="1">
      <c r="A22" s="409"/>
      <c r="B22" s="453"/>
      <c r="C22" s="454"/>
      <c r="D22" s="455"/>
      <c r="E22" s="456"/>
      <c r="F22" s="457"/>
      <c r="G22" s="458"/>
      <c r="H22" s="458"/>
      <c r="I22" s="458"/>
      <c r="J22" s="428"/>
      <c r="K22" s="409"/>
      <c r="L22" s="409"/>
      <c r="M22" s="409"/>
      <c r="N22" s="409"/>
      <c r="O22" s="409"/>
      <c r="P22" s="409"/>
      <c r="Q22" s="409"/>
      <c r="R22" s="409"/>
      <c r="S22" s="409"/>
      <c r="T22" s="409"/>
      <c r="U22" s="409"/>
      <c r="V22" s="409"/>
      <c r="W22" s="409"/>
      <c r="X22" s="409"/>
      <c r="Y22" s="409"/>
      <c r="Z22" s="409"/>
      <c r="AA22" s="409"/>
      <c r="AB22" s="409"/>
      <c r="AC22" s="409"/>
      <c r="AD22" s="409"/>
      <c r="AE22" s="409"/>
      <c r="AF22" s="409"/>
      <c r="AG22" s="409"/>
    </row>
    <row r="23" spans="1:33" ht="15">
      <c r="A23" s="409"/>
      <c r="B23" s="424"/>
      <c r="C23" s="433" t="s">
        <v>499</v>
      </c>
      <c r="D23" s="434"/>
      <c r="E23" s="435"/>
      <c r="F23" s="434"/>
      <c r="G23" s="434"/>
      <c r="H23" s="434"/>
      <c r="I23" s="434"/>
      <c r="J23" s="428"/>
      <c r="K23" s="409"/>
      <c r="L23" s="409"/>
      <c r="M23" s="459"/>
      <c r="N23" s="452"/>
      <c r="O23" s="452"/>
      <c r="P23" s="459"/>
      <c r="Q23" s="409"/>
      <c r="R23" s="409"/>
      <c r="S23" s="409"/>
      <c r="T23" s="409"/>
      <c r="U23" s="409"/>
      <c r="V23" s="409"/>
      <c r="W23" s="409"/>
      <c r="X23" s="409"/>
      <c r="Y23" s="409"/>
      <c r="Z23" s="409"/>
      <c r="AA23" s="409"/>
      <c r="AB23" s="409"/>
      <c r="AC23" s="409"/>
      <c r="AD23" s="409"/>
      <c r="AE23" s="409"/>
      <c r="AF23" s="409"/>
      <c r="AG23" s="409"/>
    </row>
    <row r="24" spans="1:33" ht="5.25" customHeight="1">
      <c r="A24" s="409"/>
      <c r="B24" s="424"/>
      <c r="C24" s="460"/>
      <c r="D24" s="437"/>
      <c r="E24" s="438"/>
      <c r="F24" s="437"/>
      <c r="G24" s="437"/>
      <c r="H24" s="437"/>
      <c r="I24" s="437"/>
      <c r="J24" s="428"/>
      <c r="K24" s="409"/>
      <c r="L24" s="409"/>
      <c r="M24" s="409"/>
      <c r="N24" s="409"/>
      <c r="O24" s="409"/>
      <c r="P24" s="409"/>
      <c r="Q24" s="409"/>
      <c r="R24" s="409"/>
      <c r="S24" s="409"/>
      <c r="T24" s="409"/>
      <c r="U24" s="409"/>
      <c r="V24" s="409"/>
      <c r="W24" s="409"/>
      <c r="X24" s="409"/>
      <c r="Y24" s="409"/>
      <c r="Z24" s="409"/>
      <c r="AA24" s="409"/>
      <c r="AB24" s="409"/>
      <c r="AC24" s="409"/>
      <c r="AD24" s="409"/>
      <c r="AE24" s="409"/>
      <c r="AF24" s="409"/>
      <c r="AG24" s="409"/>
    </row>
    <row r="25" spans="1:33" ht="20.25" customHeight="1">
      <c r="A25" s="409"/>
      <c r="B25" s="424"/>
      <c r="C25" s="442" t="s">
        <v>500</v>
      </c>
      <c r="D25" s="461">
        <f>SUMPRODUCT(G25:I25,G20:I20)</f>
        <v>171.74503942975474</v>
      </c>
      <c r="E25" s="462"/>
      <c r="F25" s="463">
        <v>171.74503942975474</v>
      </c>
      <c r="G25" s="463">
        <v>171.74503942975474</v>
      </c>
      <c r="H25" s="463">
        <v>171.74503942975474</v>
      </c>
      <c r="I25" s="463">
        <v>171.74503942975474</v>
      </c>
      <c r="J25" s="464"/>
      <c r="K25" s="452"/>
      <c r="L25" s="452"/>
      <c r="M25" s="452"/>
      <c r="N25" s="452"/>
      <c r="O25" s="409"/>
      <c r="P25" s="409"/>
      <c r="Q25" s="409"/>
      <c r="R25" s="409"/>
      <c r="S25" s="409"/>
      <c r="T25" s="409"/>
      <c r="U25" s="409"/>
      <c r="V25" s="409"/>
      <c r="W25" s="409"/>
      <c r="X25" s="409"/>
      <c r="Y25" s="409"/>
      <c r="Z25" s="409"/>
      <c r="AA25" s="409"/>
      <c r="AB25" s="409"/>
      <c r="AC25" s="409"/>
      <c r="AD25" s="409"/>
      <c r="AE25" s="409"/>
      <c r="AF25" s="409"/>
      <c r="AG25" s="409"/>
    </row>
    <row r="26" spans="1:33" ht="15">
      <c r="A26" s="409"/>
      <c r="B26" s="424"/>
      <c r="C26" s="465" t="s">
        <v>501</v>
      </c>
      <c r="D26" s="466">
        <f>SUMPRODUCT(G26:I26,G20:I20)</f>
        <v>6.267151383390486</v>
      </c>
      <c r="E26" s="467"/>
      <c r="F26" s="451">
        <v>11.877250306345417</v>
      </c>
      <c r="G26" s="451">
        <v>6.854474303917429</v>
      </c>
      <c r="H26" s="451">
        <v>0.15506332673915632</v>
      </c>
      <c r="I26" s="451">
        <v>0.04456499916439958</v>
      </c>
      <c r="J26" s="428"/>
      <c r="K26" s="468"/>
      <c r="L26" s="468"/>
      <c r="M26" s="468"/>
      <c r="N26" s="468"/>
      <c r="O26" s="409"/>
      <c r="P26" s="409"/>
      <c r="Q26" s="409"/>
      <c r="R26" s="409"/>
      <c r="S26" s="409"/>
      <c r="T26" s="409"/>
      <c r="U26" s="409"/>
      <c r="V26" s="409"/>
      <c r="W26" s="409"/>
      <c r="X26" s="409"/>
      <c r="Y26" s="409"/>
      <c r="Z26" s="409"/>
      <c r="AA26" s="409"/>
      <c r="AB26" s="409"/>
      <c r="AC26" s="409"/>
      <c r="AD26" s="409"/>
      <c r="AE26" s="409"/>
      <c r="AF26" s="409"/>
      <c r="AG26" s="409"/>
    </row>
    <row r="27" spans="1:33" ht="5.25" customHeight="1">
      <c r="A27" s="409"/>
      <c r="B27" s="424"/>
      <c r="C27" s="469"/>
      <c r="D27" s="455"/>
      <c r="E27" s="470"/>
      <c r="F27" s="471"/>
      <c r="G27" s="471"/>
      <c r="H27" s="471"/>
      <c r="I27" s="471"/>
      <c r="J27" s="428"/>
      <c r="K27" s="409"/>
      <c r="L27" s="409"/>
      <c r="M27" s="409"/>
      <c r="N27" s="409"/>
      <c r="O27" s="409"/>
      <c r="P27" s="409"/>
      <c r="Q27" s="409"/>
      <c r="R27" s="409"/>
      <c r="S27" s="409"/>
      <c r="T27" s="409"/>
      <c r="U27" s="409"/>
      <c r="V27" s="409"/>
      <c r="W27" s="409"/>
      <c r="X27" s="409"/>
      <c r="Y27" s="409"/>
      <c r="Z27" s="409"/>
      <c r="AA27" s="409"/>
      <c r="AB27" s="409"/>
      <c r="AC27" s="409"/>
      <c r="AD27" s="409"/>
      <c r="AE27" s="409"/>
      <c r="AF27" s="409"/>
      <c r="AG27" s="409"/>
    </row>
    <row r="28" spans="1:33" ht="15">
      <c r="A28" s="409"/>
      <c r="B28" s="424"/>
      <c r="C28" s="433" t="s">
        <v>502</v>
      </c>
      <c r="D28" s="472"/>
      <c r="E28" s="473"/>
      <c r="F28" s="474"/>
      <c r="G28" s="474"/>
      <c r="H28" s="474"/>
      <c r="I28" s="474"/>
      <c r="J28" s="428"/>
      <c r="K28" s="409"/>
      <c r="L28" s="409"/>
      <c r="M28" s="409"/>
      <c r="N28" s="409"/>
      <c r="O28" s="409"/>
      <c r="P28" s="409"/>
      <c r="Q28" s="409"/>
      <c r="R28" s="409"/>
      <c r="S28" s="409"/>
      <c r="T28" s="409"/>
      <c r="U28" s="409"/>
      <c r="V28" s="409"/>
      <c r="W28" s="409"/>
      <c r="X28" s="409"/>
      <c r="Y28" s="409"/>
      <c r="Z28" s="409"/>
      <c r="AA28" s="409"/>
      <c r="AB28" s="409"/>
      <c r="AC28" s="409"/>
      <c r="AD28" s="409"/>
      <c r="AE28" s="409"/>
      <c r="AF28" s="409"/>
      <c r="AG28" s="409"/>
    </row>
    <row r="29" spans="1:33" ht="6.75" customHeight="1">
      <c r="A29" s="409"/>
      <c r="B29" s="424"/>
      <c r="C29" s="431"/>
      <c r="D29" s="475"/>
      <c r="E29" s="476"/>
      <c r="F29" s="477"/>
      <c r="G29" s="477"/>
      <c r="H29" s="477"/>
      <c r="I29" s="477"/>
      <c r="J29" s="428"/>
      <c r="K29" s="409"/>
      <c r="L29" s="409"/>
      <c r="M29" s="409"/>
      <c r="N29" s="409"/>
      <c r="O29" s="409"/>
      <c r="P29" s="409"/>
      <c r="Q29" s="409"/>
      <c r="R29" s="409"/>
      <c r="S29" s="409"/>
      <c r="T29" s="409"/>
      <c r="U29" s="409"/>
      <c r="V29" s="409"/>
      <c r="W29" s="409"/>
      <c r="X29" s="409"/>
      <c r="Y29" s="409"/>
      <c r="Z29" s="409"/>
      <c r="AA29" s="409"/>
      <c r="AB29" s="409"/>
      <c r="AC29" s="409"/>
      <c r="AD29" s="409"/>
      <c r="AE29" s="409"/>
      <c r="AF29" s="409"/>
      <c r="AG29" s="409"/>
    </row>
    <row r="30" spans="1:33" ht="16.5" customHeight="1">
      <c r="A30" s="409"/>
      <c r="B30" s="424"/>
      <c r="C30" s="448" t="s">
        <v>503</v>
      </c>
      <c r="D30" s="478">
        <f>D12/D13</f>
        <v>1.373534549591757</v>
      </c>
      <c r="E30" s="479"/>
      <c r="F30" s="480">
        <f>F20*$D$18*F25/($D$13*1000000)</f>
        <v>1.2297569909485215</v>
      </c>
      <c r="G30" s="480">
        <f>G20*$D$18*G25/($D$13*1000000)</f>
        <v>1.2542297668877957</v>
      </c>
      <c r="H30" s="480">
        <f>H20*$D$18*H25/($D$13*1000000)</f>
        <v>0.05200464887095738</v>
      </c>
      <c r="I30" s="480">
        <f>I20*$D$18*I25/($D$13*1000000)</f>
        <v>0.06730013383300366</v>
      </c>
      <c r="J30" s="481"/>
      <c r="K30" s="452"/>
      <c r="L30" s="482"/>
      <c r="M30" s="452"/>
      <c r="N30" s="452"/>
      <c r="O30" s="409"/>
      <c r="P30" s="409"/>
      <c r="Q30" s="409"/>
      <c r="R30" s="409"/>
      <c r="S30" s="409"/>
      <c r="T30" s="409"/>
      <c r="U30" s="409"/>
      <c r="V30" s="409"/>
      <c r="W30" s="409"/>
      <c r="X30" s="409"/>
      <c r="Y30" s="409"/>
      <c r="Z30" s="409"/>
      <c r="AA30" s="409"/>
      <c r="AB30" s="409"/>
      <c r="AC30" s="409"/>
      <c r="AD30" s="409"/>
      <c r="AE30" s="409"/>
      <c r="AF30" s="409"/>
      <c r="AG30" s="409"/>
    </row>
    <row r="31" spans="1:33" ht="5.25" customHeight="1">
      <c r="A31" s="409"/>
      <c r="B31" s="424"/>
      <c r="C31" s="469"/>
      <c r="D31" s="455"/>
      <c r="E31" s="470"/>
      <c r="F31" s="471"/>
      <c r="G31" s="471"/>
      <c r="H31" s="471"/>
      <c r="I31" s="471"/>
      <c r="J31" s="428"/>
      <c r="K31" s="409"/>
      <c r="L31" s="409"/>
      <c r="M31" s="409"/>
      <c r="N31" s="409"/>
      <c r="O31" s="409"/>
      <c r="P31" s="409"/>
      <c r="Q31" s="409"/>
      <c r="R31" s="409"/>
      <c r="S31" s="409"/>
      <c r="T31" s="409"/>
      <c r="U31" s="409"/>
      <c r="V31" s="409"/>
      <c r="W31" s="409"/>
      <c r="X31" s="409"/>
      <c r="Y31" s="409"/>
      <c r="Z31" s="409"/>
      <c r="AA31" s="409"/>
      <c r="AB31" s="409"/>
      <c r="AC31" s="409"/>
      <c r="AD31" s="409"/>
      <c r="AE31" s="409"/>
      <c r="AF31" s="409"/>
      <c r="AG31" s="409"/>
    </row>
    <row r="32" spans="1:33" ht="15" customHeight="1">
      <c r="A32" s="409"/>
      <c r="B32" s="424"/>
      <c r="C32" s="442" t="s">
        <v>512</v>
      </c>
      <c r="D32" s="483">
        <v>3380</v>
      </c>
      <c r="E32" s="427"/>
      <c r="F32" s="427"/>
      <c r="G32" s="427"/>
      <c r="H32" s="427"/>
      <c r="I32" s="427"/>
      <c r="J32" s="428"/>
      <c r="K32" s="409"/>
      <c r="L32" s="484"/>
      <c r="M32" s="484"/>
      <c r="N32" s="484"/>
      <c r="O32" s="484"/>
      <c r="P32" s="484"/>
      <c r="Q32" s="484"/>
      <c r="R32" s="484"/>
      <c r="S32" s="484"/>
      <c r="T32" s="484"/>
      <c r="U32" s="484"/>
      <c r="V32" s="484"/>
      <c r="W32" s="484"/>
      <c r="X32" s="484"/>
      <c r="Y32" s="484"/>
      <c r="Z32" s="484"/>
      <c r="AA32" s="484"/>
      <c r="AB32" s="484"/>
      <c r="AC32" s="484"/>
      <c r="AD32" s="484"/>
      <c r="AE32" s="484"/>
      <c r="AF32" s="484"/>
      <c r="AG32" s="409"/>
    </row>
    <row r="33" spans="1:33" ht="15" customHeight="1">
      <c r="A33" s="409"/>
      <c r="B33" s="424"/>
      <c r="C33" s="485" t="s">
        <v>504</v>
      </c>
      <c r="D33" s="486">
        <v>6153000</v>
      </c>
      <c r="E33" s="487"/>
      <c r="F33" s="487"/>
      <c r="G33" s="487"/>
      <c r="H33" s="487"/>
      <c r="I33" s="487"/>
      <c r="J33" s="428"/>
      <c r="K33" s="409"/>
      <c r="L33" s="409"/>
      <c r="M33" s="409"/>
      <c r="N33" s="409"/>
      <c r="O33" s="409"/>
      <c r="P33" s="409"/>
      <c r="Q33" s="409"/>
      <c r="R33" s="409"/>
      <c r="S33" s="409"/>
      <c r="T33" s="409"/>
      <c r="U33" s="409"/>
      <c r="V33" s="409"/>
      <c r="W33" s="409"/>
      <c r="X33" s="409"/>
      <c r="Y33" s="409"/>
      <c r="Z33" s="409"/>
      <c r="AA33" s="409"/>
      <c r="AB33" s="409"/>
      <c r="AC33" s="409"/>
      <c r="AD33" s="409"/>
      <c r="AE33" s="409"/>
      <c r="AF33" s="409"/>
      <c r="AG33" s="409"/>
    </row>
    <row r="34" spans="1:33" ht="3.75" customHeight="1">
      <c r="A34" s="409"/>
      <c r="B34" s="424"/>
      <c r="C34" s="442"/>
      <c r="D34" s="488"/>
      <c r="E34" s="427"/>
      <c r="F34" s="427"/>
      <c r="G34" s="427"/>
      <c r="H34" s="427"/>
      <c r="I34" s="427"/>
      <c r="J34" s="428"/>
      <c r="K34" s="409"/>
      <c r="L34" s="489"/>
      <c r="M34" s="490"/>
      <c r="N34" s="490"/>
      <c r="O34" s="490"/>
      <c r="P34" s="490"/>
      <c r="Q34" s="490"/>
      <c r="R34" s="490"/>
      <c r="S34" s="490"/>
      <c r="T34" s="490"/>
      <c r="U34" s="490"/>
      <c r="V34" s="490"/>
      <c r="W34" s="490"/>
      <c r="X34" s="490"/>
      <c r="Y34" s="490"/>
      <c r="Z34" s="490"/>
      <c r="AA34" s="490"/>
      <c r="AB34" s="490"/>
      <c r="AC34" s="490"/>
      <c r="AD34" s="490"/>
      <c r="AE34" s="490"/>
      <c r="AF34" s="490"/>
      <c r="AG34" s="409"/>
    </row>
    <row r="35" spans="1:33" ht="15">
      <c r="A35" s="409"/>
      <c r="B35" s="424"/>
      <c r="C35" s="491" t="s">
        <v>505</v>
      </c>
      <c r="D35" s="492"/>
      <c r="E35" s="427"/>
      <c r="F35" s="493"/>
      <c r="G35" s="493"/>
      <c r="H35" s="493"/>
      <c r="I35" s="493"/>
      <c r="J35" s="428"/>
      <c r="K35" s="409"/>
      <c r="L35" s="489"/>
      <c r="M35" s="490"/>
      <c r="N35" s="490"/>
      <c r="O35" s="490"/>
      <c r="P35" s="490"/>
      <c r="Q35" s="490"/>
      <c r="R35" s="490"/>
      <c r="S35" s="490"/>
      <c r="T35" s="490"/>
      <c r="U35" s="490"/>
      <c r="V35" s="490"/>
      <c r="W35" s="490"/>
      <c r="X35" s="490"/>
      <c r="Y35" s="490"/>
      <c r="Z35" s="490"/>
      <c r="AA35" s="490"/>
      <c r="AB35" s="490"/>
      <c r="AC35" s="490"/>
      <c r="AD35" s="490"/>
      <c r="AE35" s="490"/>
      <c r="AF35" s="490"/>
      <c r="AG35" s="409"/>
    </row>
    <row r="36" spans="1:33" ht="15">
      <c r="A36" s="409"/>
      <c r="B36" s="424"/>
      <c r="C36" s="494" t="s">
        <v>506</v>
      </c>
      <c r="D36" s="492"/>
      <c r="E36" s="427"/>
      <c r="F36" s="493"/>
      <c r="G36" s="493"/>
      <c r="H36" s="493"/>
      <c r="I36" s="493"/>
      <c r="J36" s="428"/>
      <c r="K36" s="409"/>
      <c r="L36" s="409"/>
      <c r="M36" s="409"/>
      <c r="N36" s="409"/>
      <c r="O36" s="409"/>
      <c r="P36" s="409"/>
      <c r="Q36" s="409"/>
      <c r="R36" s="409"/>
      <c r="S36" s="409"/>
      <c r="T36" s="409"/>
      <c r="U36" s="409"/>
      <c r="V36" s="409"/>
      <c r="W36" s="409"/>
      <c r="X36" s="409"/>
      <c r="Y36" s="409"/>
      <c r="Z36" s="409"/>
      <c r="AA36" s="409"/>
      <c r="AB36" s="409"/>
      <c r="AC36" s="409"/>
      <c r="AD36" s="409"/>
      <c r="AE36" s="409"/>
      <c r="AF36" s="409"/>
      <c r="AG36" s="409"/>
    </row>
    <row r="37" spans="1:33" ht="15">
      <c r="A37" s="409"/>
      <c r="B37" s="424"/>
      <c r="C37" s="494" t="s">
        <v>513</v>
      </c>
      <c r="D37" s="411"/>
      <c r="E37" s="411"/>
      <c r="F37" s="411"/>
      <c r="G37" s="411"/>
      <c r="H37" s="411"/>
      <c r="I37" s="411"/>
      <c r="J37" s="428"/>
      <c r="K37" s="409"/>
      <c r="L37" s="409"/>
      <c r="M37" s="409"/>
      <c r="N37" s="409"/>
      <c r="O37" s="409"/>
      <c r="P37" s="409"/>
      <c r="Q37" s="409"/>
      <c r="R37" s="409"/>
      <c r="S37" s="409"/>
      <c r="T37" s="409"/>
      <c r="U37" s="409"/>
      <c r="V37" s="409"/>
      <c r="W37" s="409"/>
      <c r="X37" s="409"/>
      <c r="Y37" s="409"/>
      <c r="Z37" s="409"/>
      <c r="AA37" s="409"/>
      <c r="AB37" s="409"/>
      <c r="AC37" s="409"/>
      <c r="AD37" s="409"/>
      <c r="AE37" s="409"/>
      <c r="AF37" s="409"/>
      <c r="AG37" s="409"/>
    </row>
    <row r="38" spans="1:33" ht="15">
      <c r="A38" s="409"/>
      <c r="B38" s="424"/>
      <c r="C38" s="494" t="s">
        <v>514</v>
      </c>
      <c r="D38" s="411"/>
      <c r="E38" s="411"/>
      <c r="F38" s="411"/>
      <c r="G38" s="411"/>
      <c r="H38" s="411"/>
      <c r="I38" s="411"/>
      <c r="J38" s="428"/>
      <c r="K38" s="409"/>
      <c r="L38" s="409"/>
      <c r="M38" s="409"/>
      <c r="N38" s="409"/>
      <c r="O38" s="409"/>
      <c r="P38" s="409"/>
      <c r="Q38" s="409"/>
      <c r="R38" s="409"/>
      <c r="S38" s="409"/>
      <c r="T38" s="409"/>
      <c r="U38" s="409"/>
      <c r="V38" s="409"/>
      <c r="W38" s="409"/>
      <c r="X38" s="409"/>
      <c r="Y38" s="409"/>
      <c r="Z38" s="409"/>
      <c r="AA38" s="409"/>
      <c r="AB38" s="409"/>
      <c r="AC38" s="409"/>
      <c r="AD38" s="409"/>
      <c r="AE38" s="409"/>
      <c r="AF38" s="409"/>
      <c r="AG38" s="409"/>
    </row>
    <row r="39" spans="1:33" ht="15">
      <c r="A39" s="495"/>
      <c r="B39" s="424"/>
      <c r="C39" s="496" t="s">
        <v>515</v>
      </c>
      <c r="D39" s="411"/>
      <c r="E39" s="411"/>
      <c r="F39" s="411"/>
      <c r="G39" s="411"/>
      <c r="H39" s="411"/>
      <c r="I39" s="411"/>
      <c r="J39" s="428"/>
      <c r="K39" s="495"/>
      <c r="L39" s="495"/>
      <c r="M39" s="495"/>
      <c r="N39" s="495"/>
      <c r="O39" s="495"/>
      <c r="P39" s="495"/>
      <c r="Q39" s="495"/>
      <c r="R39" s="495"/>
      <c r="S39" s="495"/>
      <c r="T39" s="495"/>
      <c r="U39" s="495"/>
      <c r="V39" s="495"/>
      <c r="W39" s="495"/>
      <c r="X39" s="495"/>
      <c r="Y39" s="495"/>
      <c r="Z39" s="495"/>
      <c r="AA39" s="495"/>
      <c r="AB39" s="495"/>
      <c r="AC39" s="495"/>
      <c r="AD39" s="495"/>
      <c r="AE39" s="495"/>
      <c r="AF39" s="495"/>
      <c r="AG39" s="495"/>
    </row>
    <row r="40" spans="1:33" ht="15.75" thickBot="1">
      <c r="A40" s="495"/>
      <c r="B40" s="497"/>
      <c r="C40" s="498" t="s">
        <v>516</v>
      </c>
      <c r="D40" s="499"/>
      <c r="E40" s="499"/>
      <c r="F40" s="499"/>
      <c r="G40" s="499"/>
      <c r="H40" s="499"/>
      <c r="I40" s="499"/>
      <c r="J40" s="500"/>
      <c r="K40" s="495"/>
      <c r="L40" s="495"/>
      <c r="M40" s="495"/>
      <c r="N40" s="495"/>
      <c r="O40" s="495"/>
      <c r="P40" s="495"/>
      <c r="Q40" s="495"/>
      <c r="R40" s="495"/>
      <c r="S40" s="495"/>
      <c r="T40" s="495"/>
      <c r="U40" s="495"/>
      <c r="V40" s="495"/>
      <c r="W40" s="495"/>
      <c r="X40" s="495"/>
      <c r="Y40" s="495"/>
      <c r="Z40" s="495"/>
      <c r="AA40" s="495"/>
      <c r="AB40" s="495"/>
      <c r="AC40" s="495"/>
      <c r="AD40" s="495"/>
      <c r="AE40" s="495"/>
      <c r="AF40" s="495"/>
      <c r="AG40" s="495"/>
    </row>
    <row r="41" spans="1:33" ht="15">
      <c r="A41" s="409"/>
      <c r="B41" s="411"/>
      <c r="C41" s="410"/>
      <c r="D41" s="410"/>
      <c r="E41" s="410"/>
      <c r="F41" s="410"/>
      <c r="G41" s="410"/>
      <c r="H41" s="410"/>
      <c r="I41" s="410"/>
      <c r="J41" s="410"/>
      <c r="K41" s="409"/>
      <c r="L41" s="409"/>
      <c r="M41" s="409"/>
      <c r="N41" s="409"/>
      <c r="O41" s="409"/>
      <c r="P41" s="409"/>
      <c r="Q41" s="409"/>
      <c r="R41" s="409"/>
      <c r="S41" s="409"/>
      <c r="T41" s="409"/>
      <c r="U41" s="409"/>
      <c r="V41" s="409"/>
      <c r="W41" s="409"/>
      <c r="X41" s="409"/>
      <c r="Y41" s="409"/>
      <c r="Z41" s="409"/>
      <c r="AA41" s="409"/>
      <c r="AB41" s="409"/>
      <c r="AC41" s="409"/>
      <c r="AD41" s="409"/>
      <c r="AE41" s="409"/>
      <c r="AF41" s="409"/>
      <c r="AG41" s="409"/>
    </row>
    <row r="42" spans="1:33" ht="15">
      <c r="A42" s="409"/>
      <c r="B42" s="410"/>
      <c r="C42" s="410"/>
      <c r="D42" s="410"/>
      <c r="E42" s="410"/>
      <c r="F42" s="410"/>
      <c r="G42" s="410"/>
      <c r="H42" s="410"/>
      <c r="I42" s="410"/>
      <c r="J42" s="410"/>
      <c r="K42" s="409"/>
      <c r="L42" s="409"/>
      <c r="M42" s="409"/>
      <c r="N42" s="409"/>
      <c r="O42" s="409"/>
      <c r="P42" s="409"/>
      <c r="Q42" s="409"/>
      <c r="R42" s="409"/>
      <c r="S42" s="409"/>
      <c r="T42" s="409"/>
      <c r="U42" s="409"/>
      <c r="V42" s="409"/>
      <c r="W42" s="409"/>
      <c r="X42" s="409"/>
      <c r="Y42" s="409"/>
      <c r="Z42" s="409"/>
      <c r="AA42" s="409"/>
      <c r="AB42" s="409"/>
      <c r="AC42" s="409"/>
      <c r="AD42" s="409"/>
      <c r="AE42" s="409"/>
      <c r="AF42" s="409"/>
      <c r="AG42" s="409"/>
    </row>
    <row r="43" spans="1:33" ht="15">
      <c r="A43" s="409"/>
      <c r="B43" s="410"/>
      <c r="C43" s="410"/>
      <c r="D43" s="410"/>
      <c r="E43" s="410"/>
      <c r="F43" s="410"/>
      <c r="G43" s="410"/>
      <c r="H43" s="410"/>
      <c r="I43" s="410"/>
      <c r="J43" s="410"/>
      <c r="K43" s="409"/>
      <c r="L43" s="409"/>
      <c r="M43" s="409"/>
      <c r="N43" s="409"/>
      <c r="O43" s="409"/>
      <c r="P43" s="409"/>
      <c r="Q43" s="409"/>
      <c r="R43" s="409"/>
      <c r="S43" s="409"/>
      <c r="T43" s="409"/>
      <c r="U43" s="409"/>
      <c r="V43" s="409"/>
      <c r="W43" s="409"/>
      <c r="X43" s="409"/>
      <c r="Y43" s="409"/>
      <c r="Z43" s="409"/>
      <c r="AA43" s="409"/>
      <c r="AB43" s="409"/>
      <c r="AC43" s="409"/>
      <c r="AD43" s="409"/>
      <c r="AE43" s="409"/>
      <c r="AF43" s="409"/>
      <c r="AG43" s="409"/>
    </row>
    <row r="44" spans="1:33" ht="15">
      <c r="A44" s="409"/>
      <c r="B44" s="410"/>
      <c r="C44" s="410"/>
      <c r="D44" s="410"/>
      <c r="E44" s="410"/>
      <c r="F44" s="410"/>
      <c r="G44" s="410"/>
      <c r="H44" s="410"/>
      <c r="I44" s="410"/>
      <c r="J44" s="410"/>
      <c r="K44" s="409"/>
      <c r="L44" s="409"/>
      <c r="M44" s="409"/>
      <c r="N44" s="409"/>
      <c r="O44" s="409"/>
      <c r="P44" s="409"/>
      <c r="Q44" s="409"/>
      <c r="R44" s="409"/>
      <c r="S44" s="409"/>
      <c r="T44" s="409"/>
      <c r="U44" s="409"/>
      <c r="V44" s="409"/>
      <c r="W44" s="409"/>
      <c r="X44" s="409"/>
      <c r="Y44" s="409"/>
      <c r="Z44" s="409"/>
      <c r="AA44" s="409"/>
      <c r="AB44" s="409"/>
      <c r="AC44" s="409"/>
      <c r="AD44" s="409"/>
      <c r="AE44" s="409"/>
      <c r="AF44" s="409"/>
      <c r="AG44" s="409"/>
    </row>
    <row r="45" spans="1:33" ht="15">
      <c r="A45" s="409"/>
      <c r="B45" s="410"/>
      <c r="C45" s="410"/>
      <c r="D45" s="410"/>
      <c r="E45" s="410"/>
      <c r="F45" s="410"/>
      <c r="G45" s="410"/>
      <c r="H45" s="410"/>
      <c r="I45" s="410"/>
      <c r="J45" s="410"/>
      <c r="K45" s="409"/>
      <c r="L45" s="409"/>
      <c r="M45" s="409"/>
      <c r="N45" s="409"/>
      <c r="O45" s="409"/>
      <c r="P45" s="409"/>
      <c r="Q45" s="409"/>
      <c r="R45" s="409"/>
      <c r="S45" s="409"/>
      <c r="T45" s="409"/>
      <c r="U45" s="409"/>
      <c r="V45" s="409"/>
      <c r="W45" s="409"/>
      <c r="X45" s="409"/>
      <c r="Y45" s="409"/>
      <c r="Z45" s="409"/>
      <c r="AA45" s="409"/>
      <c r="AB45" s="409"/>
      <c r="AC45" s="409"/>
      <c r="AD45" s="409"/>
      <c r="AE45" s="409"/>
      <c r="AF45" s="409"/>
      <c r="AG45" s="409"/>
    </row>
    <row r="46" spans="1:33" ht="15">
      <c r="A46" s="409"/>
      <c r="B46" s="410"/>
      <c r="C46" s="410"/>
      <c r="D46" s="410"/>
      <c r="E46" s="410"/>
      <c r="F46" s="410"/>
      <c r="G46" s="410"/>
      <c r="H46" s="410"/>
      <c r="I46" s="410"/>
      <c r="J46" s="410"/>
      <c r="K46" s="409"/>
      <c r="L46" s="409"/>
      <c r="M46" s="409"/>
      <c r="N46" s="409"/>
      <c r="O46" s="409"/>
      <c r="P46" s="409"/>
      <c r="Q46" s="409"/>
      <c r="R46" s="409"/>
      <c r="S46" s="409"/>
      <c r="T46" s="409"/>
      <c r="U46" s="409"/>
      <c r="V46" s="409"/>
      <c r="W46" s="409"/>
      <c r="X46" s="409"/>
      <c r="Y46" s="409"/>
      <c r="Z46" s="409"/>
      <c r="AA46" s="409"/>
      <c r="AB46" s="409"/>
      <c r="AC46" s="409"/>
      <c r="AD46" s="409"/>
      <c r="AE46" s="409"/>
      <c r="AF46" s="409"/>
      <c r="AG46" s="409"/>
    </row>
    <row r="47" spans="1:33" ht="15">
      <c r="A47" s="409"/>
      <c r="B47" s="410"/>
      <c r="C47" s="410"/>
      <c r="D47" s="410"/>
      <c r="E47" s="410"/>
      <c r="F47" s="410"/>
      <c r="G47" s="410"/>
      <c r="H47" s="410"/>
      <c r="I47" s="410"/>
      <c r="J47" s="410"/>
      <c r="K47" s="409"/>
      <c r="L47" s="409"/>
      <c r="M47" s="409"/>
      <c r="N47" s="409"/>
      <c r="O47" s="409"/>
      <c r="P47" s="409"/>
      <c r="Q47" s="409"/>
      <c r="R47" s="409"/>
      <c r="S47" s="409"/>
      <c r="T47" s="409"/>
      <c r="U47" s="409"/>
      <c r="V47" s="409"/>
      <c r="W47" s="409"/>
      <c r="X47" s="409"/>
      <c r="Y47" s="409"/>
      <c r="Z47" s="409"/>
      <c r="AA47" s="409"/>
      <c r="AB47" s="409"/>
      <c r="AC47" s="409"/>
      <c r="AD47" s="409"/>
      <c r="AE47" s="409"/>
      <c r="AF47" s="409"/>
      <c r="AG47" s="409"/>
    </row>
  </sheetData>
  <sheetProtection/>
  <mergeCells count="4">
    <mergeCell ref="D5:I5"/>
    <mergeCell ref="C7:I7"/>
    <mergeCell ref="C8:I8"/>
    <mergeCell ref="F14:I14"/>
  </mergeCells>
  <printOptions/>
  <pageMargins left="0.7" right="0.7" top="0.75" bottom="0.75" header="0.3" footer="0.3"/>
  <pageSetup orientation="portrait" paperSize="9"/>
  <drawing r:id="rId3"/>
  <legacyDrawing r:id="rId2"/>
</worksheet>
</file>

<file path=xl/worksheets/sheet11.xml><?xml version="1.0" encoding="utf-8"?>
<worksheet xmlns="http://schemas.openxmlformats.org/spreadsheetml/2006/main" xmlns:r="http://schemas.openxmlformats.org/officeDocument/2006/relationships">
  <sheetPr codeName="Sheet10"/>
  <dimension ref="A2:N31"/>
  <sheetViews>
    <sheetView zoomScalePageLayoutView="0" workbookViewId="0" topLeftCell="A1">
      <selection activeCell="A1" sqref="A1:IV65536"/>
    </sheetView>
  </sheetViews>
  <sheetFormatPr defaultColWidth="11.421875" defaultRowHeight="12.75"/>
  <cols>
    <col min="1" max="1" width="11.421875" style="145" customWidth="1"/>
    <col min="2" max="2" width="11.28125" style="145" customWidth="1"/>
    <col min="3" max="3" width="13.8515625" style="145" bestFit="1" customWidth="1"/>
    <col min="4" max="4" width="11.421875" style="145" customWidth="1"/>
    <col min="5" max="5" width="11.57421875" style="145" bestFit="1" customWidth="1"/>
    <col min="6" max="7" width="11.421875" style="145" customWidth="1"/>
    <col min="8" max="8" width="18.00390625" style="145" customWidth="1"/>
    <col min="9" max="10" width="11.57421875" style="145" bestFit="1" customWidth="1"/>
    <col min="11" max="11" width="11.421875" style="145" customWidth="1"/>
    <col min="12" max="12" width="17.28125" style="145" customWidth="1"/>
    <col min="13" max="16384" width="11.421875" style="145" customWidth="1"/>
  </cols>
  <sheetData>
    <row r="1" ht="13.5" thickBot="1"/>
    <row r="2" spans="1:9" ht="39" customHeight="1" thickBot="1">
      <c r="A2" s="553" t="s">
        <v>312</v>
      </c>
      <c r="B2" s="554"/>
      <c r="C2" s="554"/>
      <c r="D2" s="555"/>
      <c r="F2" s="146"/>
      <c r="G2" s="146"/>
      <c r="H2" s="147" t="s">
        <v>313</v>
      </c>
      <c r="I2" s="146"/>
    </row>
    <row r="3" spans="6:9" ht="13.5" thickBot="1">
      <c r="F3" s="146"/>
      <c r="G3" s="148" t="s">
        <v>90</v>
      </c>
      <c r="H3" s="149">
        <f>+C6/B24</f>
        <v>87.66149868212499</v>
      </c>
      <c r="I3" s="146"/>
    </row>
    <row r="4" spans="1:9" ht="13.5" thickBot="1">
      <c r="A4" s="556" t="s">
        <v>314</v>
      </c>
      <c r="B4" s="557"/>
      <c r="C4" s="557"/>
      <c r="F4" s="146"/>
      <c r="G4" s="151" t="s">
        <v>315</v>
      </c>
      <c r="H4" s="152">
        <f>+C11/B22</f>
        <v>141.7190740425284</v>
      </c>
      <c r="I4" s="146"/>
    </row>
    <row r="5" spans="1:9" ht="13.5" thickBot="1">
      <c r="A5" s="153"/>
      <c r="B5" s="154" t="s">
        <v>316</v>
      </c>
      <c r="C5" s="155" t="s">
        <v>317</v>
      </c>
      <c r="F5" s="146"/>
      <c r="G5" s="156" t="s">
        <v>318</v>
      </c>
      <c r="H5" s="157">
        <f>+C17/B23</f>
        <v>63.701974435628756</v>
      </c>
      <c r="I5" s="146"/>
    </row>
    <row r="6" spans="1:9" ht="24">
      <c r="A6" s="158" t="s">
        <v>319</v>
      </c>
      <c r="B6" s="159">
        <v>203819</v>
      </c>
      <c r="C6" s="160">
        <v>78756493</v>
      </c>
      <c r="F6" s="146"/>
      <c r="G6" s="161" t="s">
        <v>320</v>
      </c>
      <c r="H6" s="146"/>
      <c r="I6" s="146"/>
    </row>
    <row r="7" spans="1:3" ht="21.75" customHeight="1" thickBot="1">
      <c r="A7" s="162" t="s">
        <v>321</v>
      </c>
      <c r="B7" s="163">
        <v>203819</v>
      </c>
      <c r="C7" s="164"/>
    </row>
    <row r="8" ht="9" customHeight="1">
      <c r="G8" s="165"/>
    </row>
    <row r="9" spans="1:7" ht="14.25" customHeight="1" thickBot="1">
      <c r="A9" s="558" t="s">
        <v>322</v>
      </c>
      <c r="B9" s="552"/>
      <c r="C9" s="552"/>
      <c r="D9" s="150"/>
      <c r="E9" s="150"/>
      <c r="F9" s="166"/>
      <c r="G9" s="165"/>
    </row>
    <row r="10" spans="1:7" ht="14.25" thickBot="1">
      <c r="A10" s="167"/>
      <c r="B10" s="154" t="s">
        <v>316</v>
      </c>
      <c r="C10" s="155" t="s">
        <v>317</v>
      </c>
      <c r="D10" s="150"/>
      <c r="E10" s="150"/>
      <c r="F10" s="166"/>
      <c r="G10" s="165"/>
    </row>
    <row r="11" spans="1:7" ht="24">
      <c r="A11" s="158" t="s">
        <v>319</v>
      </c>
      <c r="B11" s="159">
        <v>68386</v>
      </c>
      <c r="C11" s="168">
        <v>39101567.99999997</v>
      </c>
      <c r="D11" s="169"/>
      <c r="E11" s="150"/>
      <c r="F11" s="166"/>
      <c r="G11" s="165"/>
    </row>
    <row r="12" spans="1:7" ht="24.75" thickBot="1">
      <c r="A12" s="162" t="s">
        <v>321</v>
      </c>
      <c r="B12" s="163">
        <v>68386</v>
      </c>
      <c r="C12" s="170"/>
      <c r="D12" s="150"/>
      <c r="E12" s="150"/>
      <c r="F12" s="166"/>
      <c r="G12" s="165"/>
    </row>
    <row r="13" spans="1:7" ht="13.5">
      <c r="A13" s="551" t="s">
        <v>323</v>
      </c>
      <c r="B13" s="552"/>
      <c r="C13" s="552"/>
      <c r="D13" s="150"/>
      <c r="E13" s="150"/>
      <c r="F13" s="166"/>
      <c r="G13" s="165"/>
    </row>
    <row r="14" spans="1:7" ht="14.25" customHeight="1">
      <c r="A14" s="150"/>
      <c r="D14" s="150"/>
      <c r="E14" s="150"/>
      <c r="F14" s="166"/>
      <c r="G14" s="165"/>
    </row>
    <row r="15" spans="1:7" ht="11.25" customHeight="1" thickBot="1">
      <c r="A15" s="558" t="s">
        <v>322</v>
      </c>
      <c r="B15" s="552"/>
      <c r="C15" s="552"/>
      <c r="D15" s="150"/>
      <c r="E15" s="150"/>
      <c r="F15" s="166"/>
      <c r="G15" s="165"/>
    </row>
    <row r="16" spans="1:7" ht="14.25" thickBot="1">
      <c r="A16" s="167"/>
      <c r="B16" s="154" t="s">
        <v>316</v>
      </c>
      <c r="C16" s="155" t="s">
        <v>317</v>
      </c>
      <c r="D16" s="150"/>
      <c r="E16" s="150"/>
      <c r="F16" s="166"/>
      <c r="G16" s="165"/>
    </row>
    <row r="17" spans="1:7" ht="24">
      <c r="A17" s="158" t="s">
        <v>319</v>
      </c>
      <c r="B17" s="159">
        <v>135433</v>
      </c>
      <c r="C17" s="168">
        <v>39654924.99999995</v>
      </c>
      <c r="D17" s="150"/>
      <c r="E17" s="150"/>
      <c r="F17" s="166"/>
      <c r="G17" s="165"/>
    </row>
    <row r="18" spans="1:7" ht="24.75" thickBot="1">
      <c r="A18" s="162" t="s">
        <v>321</v>
      </c>
      <c r="B18" s="163">
        <v>135433</v>
      </c>
      <c r="C18" s="170"/>
      <c r="D18" s="150"/>
      <c r="E18" s="150"/>
      <c r="F18" s="166"/>
      <c r="G18" s="165"/>
    </row>
    <row r="19" spans="1:7" ht="13.5">
      <c r="A19" s="551" t="s">
        <v>324</v>
      </c>
      <c r="B19" s="552"/>
      <c r="C19" s="552"/>
      <c r="D19" s="150"/>
      <c r="E19" s="150"/>
      <c r="F19" s="166"/>
      <c r="G19" s="165"/>
    </row>
    <row r="20" spans="1:7" ht="9.75" customHeight="1" thickBot="1">
      <c r="A20" s="150"/>
      <c r="D20" s="150"/>
      <c r="E20" s="150"/>
      <c r="F20" s="166"/>
      <c r="G20" s="165"/>
    </row>
    <row r="21" spans="1:7" ht="24.75" thickBot="1">
      <c r="A21" s="171"/>
      <c r="B21" s="154" t="s">
        <v>325</v>
      </c>
      <c r="C21" s="172" t="s">
        <v>326</v>
      </c>
      <c r="D21" s="172" t="s">
        <v>327</v>
      </c>
      <c r="E21" s="155" t="s">
        <v>328</v>
      </c>
      <c r="F21" s="166"/>
      <c r="G21" s="165"/>
    </row>
    <row r="22" spans="1:7" ht="13.5" customHeight="1">
      <c r="A22" s="173" t="s">
        <v>329</v>
      </c>
      <c r="B22" s="174">
        <v>275909</v>
      </c>
      <c r="C22" s="175">
        <v>30.710606222507167</v>
      </c>
      <c r="D22" s="175">
        <v>30.710606222507167</v>
      </c>
      <c r="E22" s="176">
        <v>30.710606222507167</v>
      </c>
      <c r="F22" s="166"/>
      <c r="G22" s="165"/>
    </row>
    <row r="23" spans="1:7" ht="12.75">
      <c r="A23" s="177" t="s">
        <v>330</v>
      </c>
      <c r="B23" s="178">
        <v>622507</v>
      </c>
      <c r="C23" s="179">
        <v>69.28939377749283</v>
      </c>
      <c r="D23" s="179">
        <v>69.28939377749283</v>
      </c>
      <c r="E23" s="180">
        <v>100</v>
      </c>
      <c r="F23" s="166"/>
      <c r="G23" s="165"/>
    </row>
    <row r="24" spans="1:7" ht="14.25" customHeight="1" thickBot="1">
      <c r="A24" s="181" t="s">
        <v>1</v>
      </c>
      <c r="B24" s="182">
        <v>898416</v>
      </c>
      <c r="C24" s="183">
        <v>100</v>
      </c>
      <c r="D24" s="183">
        <v>100</v>
      </c>
      <c r="E24" s="164"/>
      <c r="F24" s="166"/>
      <c r="G24" s="165"/>
    </row>
    <row r="27" ht="12.75">
      <c r="N27" s="166"/>
    </row>
    <row r="28" ht="12.75">
      <c r="N28" s="166"/>
    </row>
    <row r="29" ht="12.75">
      <c r="N29" s="166"/>
    </row>
    <row r="30" ht="12.75">
      <c r="N30" s="166"/>
    </row>
    <row r="31" ht="12.75">
      <c r="N31" s="166"/>
    </row>
  </sheetData>
  <sheetProtection/>
  <mergeCells count="6">
    <mergeCell ref="A19:C19"/>
    <mergeCell ref="A2:D2"/>
    <mergeCell ref="A4:C4"/>
    <mergeCell ref="A9:C9"/>
    <mergeCell ref="A13:C13"/>
    <mergeCell ref="A15:C15"/>
  </mergeCells>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T19"/>
  <sheetViews>
    <sheetView zoomScale="85" zoomScaleNormal="85" zoomScalePageLayoutView="0" workbookViewId="0" topLeftCell="A1">
      <selection activeCell="A1" sqref="A1:IV65536"/>
    </sheetView>
  </sheetViews>
  <sheetFormatPr defaultColWidth="11.421875" defaultRowHeight="12.75"/>
  <cols>
    <col min="1" max="1" width="6.28125" style="145" customWidth="1"/>
    <col min="2" max="2" width="8.28125" style="145" customWidth="1"/>
    <col min="3" max="3" width="37.28125" style="145" customWidth="1"/>
    <col min="4" max="4" width="12.421875" style="145" customWidth="1"/>
    <col min="5" max="5" width="14.00390625" style="145" customWidth="1"/>
    <col min="6" max="6" width="11.140625" style="145" customWidth="1"/>
    <col min="7" max="7" width="13.140625" style="145" customWidth="1"/>
    <col min="8" max="8" width="11.00390625" style="145" customWidth="1"/>
    <col min="9" max="9" width="14.00390625" style="145" customWidth="1"/>
    <col min="10" max="10" width="14.421875" style="145" customWidth="1"/>
    <col min="11" max="11" width="11.421875" style="145" customWidth="1"/>
    <col min="12" max="12" width="13.57421875" style="145" customWidth="1"/>
    <col min="13" max="13" width="16.421875" style="145" customWidth="1"/>
    <col min="14" max="15" width="11.421875" style="145" customWidth="1"/>
    <col min="16" max="16" width="17.140625" style="145" customWidth="1"/>
    <col min="17" max="17" width="15.421875" style="145" customWidth="1"/>
    <col min="18" max="18" width="22.7109375" style="145" customWidth="1"/>
    <col min="19" max="16384" width="11.421875" style="145" customWidth="1"/>
  </cols>
  <sheetData>
    <row r="1" ht="13.5" thickBot="1"/>
    <row r="2" spans="2:10" ht="12.75" customHeight="1">
      <c r="B2" s="559" t="s">
        <v>333</v>
      </c>
      <c r="C2" s="560"/>
      <c r="D2" s="560"/>
      <c r="E2" s="560"/>
      <c r="F2" s="560"/>
      <c r="G2" s="560"/>
      <c r="H2" s="560"/>
      <c r="I2" s="560"/>
      <c r="J2" s="561"/>
    </row>
    <row r="3" spans="2:10" ht="12.75" customHeight="1" thickBot="1">
      <c r="B3" s="562"/>
      <c r="C3" s="563"/>
      <c r="D3" s="563"/>
      <c r="E3" s="563"/>
      <c r="F3" s="563"/>
      <c r="G3" s="563"/>
      <c r="H3" s="563"/>
      <c r="I3" s="563"/>
      <c r="J3" s="564"/>
    </row>
    <row r="4" ht="13.5" thickBot="1"/>
    <row r="5" spans="2:20" ht="43.5" customHeight="1" thickBot="1">
      <c r="B5" s="184" t="s">
        <v>334</v>
      </c>
      <c r="C5" s="185" t="s">
        <v>335</v>
      </c>
      <c r="D5" s="186" t="s">
        <v>336</v>
      </c>
      <c r="E5" s="186" t="s">
        <v>337</v>
      </c>
      <c r="F5" s="186" t="s">
        <v>90</v>
      </c>
      <c r="G5" s="186" t="s">
        <v>338</v>
      </c>
      <c r="H5" s="187" t="s">
        <v>339</v>
      </c>
      <c r="I5" s="187" t="s">
        <v>340</v>
      </c>
      <c r="J5" s="188" t="s">
        <v>341</v>
      </c>
      <c r="L5" s="189" t="s">
        <v>363</v>
      </c>
      <c r="M5" s="189" t="s">
        <v>342</v>
      </c>
      <c r="P5" s="190" t="s">
        <v>343</v>
      </c>
      <c r="Q5" s="191" t="s">
        <v>344</v>
      </c>
      <c r="R5" s="191" t="s">
        <v>345</v>
      </c>
      <c r="S5" s="229" t="s">
        <v>347</v>
      </c>
      <c r="T5" s="229" t="s">
        <v>365</v>
      </c>
    </row>
    <row r="6" spans="2:20" ht="18.75" customHeight="1">
      <c r="B6" s="192">
        <v>1</v>
      </c>
      <c r="C6" s="193" t="s">
        <v>346</v>
      </c>
      <c r="D6" s="194">
        <v>3</v>
      </c>
      <c r="E6" s="194">
        <v>0</v>
      </c>
      <c r="F6" s="194">
        <v>3</v>
      </c>
      <c r="G6" s="194">
        <v>20</v>
      </c>
      <c r="H6" s="195">
        <f aca="true" t="shared" si="0" ref="H6:H12">+D6/G6</f>
        <v>0.15</v>
      </c>
      <c r="I6" s="195">
        <f aca="true" t="shared" si="1" ref="I6:I15">+E6/G6</f>
        <v>0</v>
      </c>
      <c r="J6" s="196">
        <v>40063</v>
      </c>
      <c r="L6" s="197">
        <v>40149</v>
      </c>
      <c r="M6" s="198">
        <f>+(L6-J6)/365</f>
        <v>0.2356164383561644</v>
      </c>
      <c r="N6" s="199"/>
      <c r="P6" s="190" t="s">
        <v>347</v>
      </c>
      <c r="Q6" s="191" t="s">
        <v>348</v>
      </c>
      <c r="R6" s="191" t="s">
        <v>349</v>
      </c>
      <c r="S6" s="229" t="s">
        <v>364</v>
      </c>
      <c r="T6" s="229" t="s">
        <v>366</v>
      </c>
    </row>
    <row r="7" spans="2:20" ht="18.75" customHeight="1">
      <c r="B7" s="200">
        <v>2</v>
      </c>
      <c r="C7" s="201" t="s">
        <v>350</v>
      </c>
      <c r="D7" s="202">
        <v>0</v>
      </c>
      <c r="E7" s="202">
        <v>1</v>
      </c>
      <c r="F7" s="202">
        <v>1</v>
      </c>
      <c r="G7" s="202">
        <v>16</v>
      </c>
      <c r="H7" s="203">
        <f t="shared" si="0"/>
        <v>0</v>
      </c>
      <c r="I7" s="203">
        <f t="shared" si="1"/>
        <v>0.0625</v>
      </c>
      <c r="J7" s="204">
        <v>40001</v>
      </c>
      <c r="L7" s="197">
        <v>40149</v>
      </c>
      <c r="M7" s="198">
        <f aca="true" t="shared" si="2" ref="M7:M15">+(L7-J7)/365</f>
        <v>0.4054794520547945</v>
      </c>
      <c r="N7" s="199"/>
      <c r="P7" s="190" t="s">
        <v>352</v>
      </c>
      <c r="Q7" s="231">
        <v>0.196</v>
      </c>
      <c r="R7" s="206">
        <f>+S7*T7</f>
        <v>0.11318619128466326</v>
      </c>
      <c r="S7" s="231">
        <f>+D16/G16</f>
        <v>0.02631578947368421</v>
      </c>
      <c r="T7" s="208">
        <f>12/2.79</f>
        <v>4.301075268817204</v>
      </c>
    </row>
    <row r="8" spans="2:20" ht="18.75" customHeight="1">
      <c r="B8" s="200">
        <v>3</v>
      </c>
      <c r="C8" s="201" t="s">
        <v>351</v>
      </c>
      <c r="D8" s="202">
        <v>0</v>
      </c>
      <c r="E8" s="202">
        <v>5</v>
      </c>
      <c r="F8" s="202">
        <v>5</v>
      </c>
      <c r="G8" s="202">
        <v>20</v>
      </c>
      <c r="H8" s="203">
        <f t="shared" si="0"/>
        <v>0</v>
      </c>
      <c r="I8" s="203">
        <f t="shared" si="1"/>
        <v>0.25</v>
      </c>
      <c r="J8" s="205">
        <v>40037</v>
      </c>
      <c r="L8" s="197">
        <v>40149</v>
      </c>
      <c r="M8" s="198">
        <f t="shared" si="2"/>
        <v>0.30684931506849317</v>
      </c>
      <c r="N8" s="199"/>
      <c r="P8" s="190" t="s">
        <v>356</v>
      </c>
      <c r="Q8" s="232">
        <v>0.08</v>
      </c>
      <c r="R8" s="210">
        <f>+S8*T8</f>
        <v>0.2490096208262592</v>
      </c>
      <c r="S8" s="231">
        <f>+E16/G16</f>
        <v>0.05789473684210526</v>
      </c>
      <c r="T8" s="208">
        <f>12/2.79</f>
        <v>4.301075268817204</v>
      </c>
    </row>
    <row r="9" spans="2:14" ht="18.75" customHeight="1">
      <c r="B9" s="200">
        <v>4</v>
      </c>
      <c r="C9" s="201" t="s">
        <v>353</v>
      </c>
      <c r="D9" s="202">
        <v>0</v>
      </c>
      <c r="E9" s="202">
        <v>1</v>
      </c>
      <c r="F9" s="202">
        <v>1</v>
      </c>
      <c r="G9" s="202">
        <v>21</v>
      </c>
      <c r="H9" s="203">
        <f t="shared" si="0"/>
        <v>0</v>
      </c>
      <c r="I9" s="203">
        <f t="shared" si="1"/>
        <v>0.047619047619047616</v>
      </c>
      <c r="J9" s="205">
        <v>40106</v>
      </c>
      <c r="L9" s="197">
        <v>40149</v>
      </c>
      <c r="M9" s="198">
        <f t="shared" si="2"/>
        <v>0.1178082191780822</v>
      </c>
      <c r="N9" s="199"/>
    </row>
    <row r="10" spans="2:20" ht="18.75" customHeight="1">
      <c r="B10" s="200">
        <v>5</v>
      </c>
      <c r="C10" s="201" t="s">
        <v>354</v>
      </c>
      <c r="D10" s="202">
        <v>0</v>
      </c>
      <c r="E10" s="202">
        <v>1</v>
      </c>
      <c r="F10" s="202">
        <v>1</v>
      </c>
      <c r="G10" s="202">
        <v>20</v>
      </c>
      <c r="H10" s="203">
        <f t="shared" si="0"/>
        <v>0</v>
      </c>
      <c r="I10" s="203">
        <f t="shared" si="1"/>
        <v>0.05</v>
      </c>
      <c r="J10" s="205">
        <v>40037</v>
      </c>
      <c r="L10" s="197">
        <v>40149</v>
      </c>
      <c r="M10" s="198">
        <f t="shared" si="2"/>
        <v>0.30684931506849317</v>
      </c>
      <c r="N10" s="199"/>
      <c r="R10" s="207"/>
      <c r="T10" s="209"/>
    </row>
    <row r="11" spans="2:14" ht="18.75" customHeight="1">
      <c r="B11" s="200">
        <v>6</v>
      </c>
      <c r="C11" s="201" t="s">
        <v>355</v>
      </c>
      <c r="D11" s="202">
        <v>0</v>
      </c>
      <c r="E11" s="202">
        <v>1</v>
      </c>
      <c r="F11" s="202">
        <v>1</v>
      </c>
      <c r="G11" s="202">
        <v>18</v>
      </c>
      <c r="H11" s="203">
        <f t="shared" si="0"/>
        <v>0</v>
      </c>
      <c r="I11" s="203">
        <f t="shared" si="1"/>
        <v>0.05555555555555555</v>
      </c>
      <c r="J11" s="205">
        <v>40044</v>
      </c>
      <c r="L11" s="197">
        <v>40149</v>
      </c>
      <c r="M11" s="198">
        <f t="shared" si="2"/>
        <v>0.2876712328767123</v>
      </c>
      <c r="N11" s="199"/>
    </row>
    <row r="12" spans="2:14" ht="18.75" customHeight="1">
      <c r="B12" s="200">
        <v>7</v>
      </c>
      <c r="C12" s="201" t="s">
        <v>357</v>
      </c>
      <c r="D12" s="202">
        <v>1</v>
      </c>
      <c r="E12" s="202">
        <v>0</v>
      </c>
      <c r="F12" s="202">
        <v>1</v>
      </c>
      <c r="G12" s="202">
        <v>16</v>
      </c>
      <c r="H12" s="203">
        <f t="shared" si="0"/>
        <v>0.0625</v>
      </c>
      <c r="I12" s="203">
        <f t="shared" si="1"/>
        <v>0</v>
      </c>
      <c r="J12" s="205">
        <v>40133</v>
      </c>
      <c r="L12" s="197">
        <v>40149</v>
      </c>
      <c r="M12" s="198">
        <f t="shared" si="2"/>
        <v>0.043835616438356165</v>
      </c>
      <c r="N12" s="199"/>
    </row>
    <row r="13" spans="2:14" ht="18.75" customHeight="1">
      <c r="B13" s="211">
        <v>8</v>
      </c>
      <c r="C13" s="212" t="s">
        <v>350</v>
      </c>
      <c r="D13" s="213">
        <v>0</v>
      </c>
      <c r="E13" s="213">
        <v>1</v>
      </c>
      <c r="F13" s="213">
        <v>1</v>
      </c>
      <c r="G13" s="213">
        <v>16</v>
      </c>
      <c r="H13" s="214">
        <v>0</v>
      </c>
      <c r="I13" s="214">
        <v>0.06</v>
      </c>
      <c r="J13" s="205">
        <v>40085</v>
      </c>
      <c r="L13" s="197">
        <v>40149</v>
      </c>
      <c r="M13" s="198">
        <f t="shared" si="2"/>
        <v>0.17534246575342466</v>
      </c>
      <c r="N13" s="199"/>
    </row>
    <row r="14" spans="2:14" ht="24.75" customHeight="1">
      <c r="B14" s="200">
        <v>9</v>
      </c>
      <c r="C14" s="215" t="s">
        <v>358</v>
      </c>
      <c r="D14" s="202">
        <v>0</v>
      </c>
      <c r="E14" s="202">
        <v>1</v>
      </c>
      <c r="F14" s="202">
        <v>1</v>
      </c>
      <c r="G14" s="202">
        <v>20</v>
      </c>
      <c r="H14" s="203">
        <f>+D14/G14</f>
        <v>0</v>
      </c>
      <c r="I14" s="203">
        <f t="shared" si="1"/>
        <v>0.05</v>
      </c>
      <c r="J14" s="205">
        <v>40114</v>
      </c>
      <c r="L14" s="197">
        <v>40149</v>
      </c>
      <c r="M14" s="198">
        <f t="shared" si="2"/>
        <v>0.0958904109589041</v>
      </c>
      <c r="N14" s="199"/>
    </row>
    <row r="15" spans="2:14" ht="18.75" customHeight="1" thickBot="1">
      <c r="B15" s="216">
        <v>10</v>
      </c>
      <c r="C15" s="217" t="s">
        <v>359</v>
      </c>
      <c r="D15" s="218">
        <v>1</v>
      </c>
      <c r="E15" s="218">
        <v>0</v>
      </c>
      <c r="F15" s="218">
        <v>1</v>
      </c>
      <c r="G15" s="218">
        <v>23</v>
      </c>
      <c r="H15" s="219">
        <f>+D15/G15</f>
        <v>0.043478260869565216</v>
      </c>
      <c r="I15" s="219">
        <f t="shared" si="1"/>
        <v>0</v>
      </c>
      <c r="J15" s="220">
        <v>40021</v>
      </c>
      <c r="L15" s="197">
        <v>40149</v>
      </c>
      <c r="M15" s="198">
        <f t="shared" si="2"/>
        <v>0.3506849315068493</v>
      </c>
      <c r="N15" s="199"/>
    </row>
    <row r="16" spans="2:14" ht="18.75" customHeight="1" thickBot="1">
      <c r="B16" s="221"/>
      <c r="C16" s="222" t="s">
        <v>90</v>
      </c>
      <c r="D16" s="223">
        <v>5</v>
      </c>
      <c r="E16" s="223">
        <v>11</v>
      </c>
      <c r="F16" s="223">
        <v>16</v>
      </c>
      <c r="G16" s="223">
        <v>190</v>
      </c>
      <c r="H16" s="224">
        <f>SUM(H6:H15)/10</f>
        <v>0.025597826086956522</v>
      </c>
      <c r="I16" s="225">
        <f>SUM(I6:I15)/10</f>
        <v>0.057567460317460316</v>
      </c>
      <c r="J16" s="226"/>
      <c r="L16" s="230" t="s">
        <v>90</v>
      </c>
      <c r="M16" s="199">
        <f>+AVERAGE(M6:M15)</f>
        <v>0.23260273972602744</v>
      </c>
      <c r="N16" s="190" t="s">
        <v>360</v>
      </c>
    </row>
    <row r="17" spans="13:14" ht="12.75">
      <c r="M17" s="227">
        <f>+M16*365</f>
        <v>84.90000000000002</v>
      </c>
      <c r="N17" s="190" t="s">
        <v>361</v>
      </c>
    </row>
    <row r="18" spans="2:14" ht="12.75">
      <c r="B18" s="145" t="s">
        <v>367</v>
      </c>
      <c r="M18" s="209">
        <f>+M16*12</f>
        <v>2.7912328767123293</v>
      </c>
      <c r="N18" s="190" t="s">
        <v>362</v>
      </c>
    </row>
    <row r="19" spans="4:5" ht="12.75">
      <c r="D19" s="228"/>
      <c r="E19" s="228"/>
    </row>
  </sheetData>
  <sheetProtection/>
  <mergeCells count="1">
    <mergeCell ref="B2:J3"/>
  </mergeCells>
  <printOptions/>
  <pageMargins left="0.75" right="0.75" top="1" bottom="1" header="0" footer="0"/>
  <pageSetup horizontalDpi="600" verticalDpi="600" orientation="landscape" paperSize="9" scale="91" r:id="rId1"/>
  <headerFooter alignWithMargins="0">
    <oddHeader>&amp;CAsociación Agape de El Salvador</oddHeader>
  </headerFooter>
</worksheet>
</file>

<file path=xl/worksheets/sheet2.xml><?xml version="1.0" encoding="utf-8"?>
<worksheet xmlns="http://schemas.openxmlformats.org/spreadsheetml/2006/main" xmlns:r="http://schemas.openxmlformats.org/officeDocument/2006/relationships">
  <sheetPr codeName="Sheet2"/>
  <dimension ref="A1:U100"/>
  <sheetViews>
    <sheetView showGridLines="0" zoomScale="80" zoomScaleNormal="80" zoomScalePageLayoutView="0" workbookViewId="0" topLeftCell="A1">
      <selection activeCell="C7" sqref="C7"/>
    </sheetView>
  </sheetViews>
  <sheetFormatPr defaultColWidth="11.421875" defaultRowHeight="12.75"/>
  <cols>
    <col min="1" max="1" width="2.421875" style="0" customWidth="1"/>
    <col min="2" max="2" width="20.28125" style="0" customWidth="1"/>
    <col min="3" max="3" width="15.00390625" style="0" customWidth="1"/>
    <col min="4" max="4" width="15.8515625" style="0" customWidth="1"/>
    <col min="5" max="5" width="12.57421875" style="0" customWidth="1"/>
    <col min="6" max="6" width="12.57421875" style="0" hidden="1" customWidth="1"/>
    <col min="7" max="7" width="13.28125" style="0" hidden="1" customWidth="1"/>
    <col min="8" max="8" width="0" style="0" hidden="1" customWidth="1"/>
    <col min="9" max="9" width="11.421875" style="0" customWidth="1"/>
    <col min="10" max="10" width="13.57421875" style="0" bestFit="1" customWidth="1"/>
    <col min="11" max="11" width="5.7109375" style="0" bestFit="1" customWidth="1"/>
    <col min="12" max="12" width="4.00390625" style="0" bestFit="1" customWidth="1"/>
    <col min="13" max="20" width="11.421875" style="0" customWidth="1"/>
    <col min="21" max="22" width="12.00390625" style="0" bestFit="1" customWidth="1"/>
  </cols>
  <sheetData>
    <row r="1" spans="2:7" ht="12.75">
      <c r="B1" s="518" t="s">
        <v>209</v>
      </c>
      <c r="C1" s="518"/>
      <c r="D1" s="518"/>
      <c r="E1" s="518"/>
      <c r="F1" s="518"/>
      <c r="G1" t="s">
        <v>210</v>
      </c>
    </row>
    <row r="2" ht="12.75">
      <c r="C2" t="s">
        <v>211</v>
      </c>
    </row>
    <row r="3" ht="12.75">
      <c r="D3" s="54" t="s">
        <v>89</v>
      </c>
    </row>
    <row r="4" ht="13.5" thickBot="1"/>
    <row r="5" spans="2:10" ht="12.75">
      <c r="B5" s="55"/>
      <c r="C5" s="55" t="s">
        <v>212</v>
      </c>
      <c r="D5" s="56"/>
      <c r="E5" s="57" t="s">
        <v>213</v>
      </c>
      <c r="F5" s="57"/>
      <c r="G5" s="57"/>
      <c r="H5" s="58"/>
      <c r="I5" s="59"/>
      <c r="J5" s="59"/>
    </row>
    <row r="6" spans="2:10" ht="13.5" thickBot="1">
      <c r="B6" s="60"/>
      <c r="C6" s="60" t="s">
        <v>214</v>
      </c>
      <c r="D6" s="61"/>
      <c r="E6" s="62"/>
      <c r="F6" s="62"/>
      <c r="G6" s="62"/>
      <c r="H6" s="63"/>
      <c r="I6" s="60" t="s">
        <v>215</v>
      </c>
      <c r="J6" s="60" t="s">
        <v>215</v>
      </c>
    </row>
    <row r="7" spans="2:10" ht="12.75">
      <c r="B7" s="60">
        <v>312</v>
      </c>
      <c r="C7" s="60" t="s">
        <v>216</v>
      </c>
      <c r="D7" s="55" t="s">
        <v>217</v>
      </c>
      <c r="E7" s="55" t="s">
        <v>218</v>
      </c>
      <c r="F7" s="55" t="s">
        <v>219</v>
      </c>
      <c r="G7" s="55" t="s">
        <v>220</v>
      </c>
      <c r="H7" s="55" t="s">
        <v>221</v>
      </c>
      <c r="I7" s="60" t="s">
        <v>90</v>
      </c>
      <c r="J7" s="60" t="s">
        <v>222</v>
      </c>
    </row>
    <row r="8" spans="2:10" ht="13.5" thickBot="1">
      <c r="B8" s="64"/>
      <c r="C8" s="64" t="s">
        <v>223</v>
      </c>
      <c r="D8" s="64"/>
      <c r="E8" s="64"/>
      <c r="F8" s="64" t="s">
        <v>224</v>
      </c>
      <c r="G8" s="64"/>
      <c r="H8" s="64"/>
      <c r="I8" s="65"/>
      <c r="J8" s="64" t="s">
        <v>225</v>
      </c>
    </row>
    <row r="9" spans="2:10" ht="12.75">
      <c r="B9" s="59"/>
      <c r="C9" s="59"/>
      <c r="D9" s="59"/>
      <c r="E9" s="59"/>
      <c r="F9" s="55"/>
      <c r="G9" s="55"/>
      <c r="H9" s="55"/>
      <c r="I9" s="59"/>
      <c r="J9" s="59"/>
    </row>
    <row r="10" spans="2:12" ht="12.75">
      <c r="B10" s="66" t="s">
        <v>226</v>
      </c>
      <c r="C10" s="67">
        <v>532007</v>
      </c>
      <c r="D10" s="67">
        <v>46151623</v>
      </c>
      <c r="E10" s="67">
        <v>626893</v>
      </c>
      <c r="F10" s="60" t="s">
        <v>227</v>
      </c>
      <c r="G10" s="60" t="s">
        <v>227</v>
      </c>
      <c r="H10" s="60" t="s">
        <v>227</v>
      </c>
      <c r="I10" s="67">
        <f>SUM(D10:H10)</f>
        <v>46778516</v>
      </c>
      <c r="J10" s="68">
        <f>(I10/C10)/8.75</f>
        <v>10.048958217252244</v>
      </c>
      <c r="K10" s="69">
        <f>+J10/0.34</f>
        <v>29.555759462506597</v>
      </c>
      <c r="L10" s="6" t="s">
        <v>228</v>
      </c>
    </row>
    <row r="11" spans="2:10" ht="12.75">
      <c r="B11" s="66" t="s">
        <v>229</v>
      </c>
      <c r="C11" s="70"/>
      <c r="D11" s="70"/>
      <c r="E11" s="70"/>
      <c r="F11" s="60"/>
      <c r="G11" s="60"/>
      <c r="H11" s="60"/>
      <c r="I11" s="70"/>
      <c r="J11" s="70"/>
    </row>
    <row r="12" spans="2:10" ht="12.75">
      <c r="B12" s="70"/>
      <c r="C12" s="70"/>
      <c r="D12" s="70"/>
      <c r="E12" s="70"/>
      <c r="F12" s="60"/>
      <c r="G12" s="60"/>
      <c r="H12" s="60"/>
      <c r="I12" s="70"/>
      <c r="J12" s="70"/>
    </row>
    <row r="13" spans="2:10" ht="12.75">
      <c r="B13" s="70" t="s">
        <v>226</v>
      </c>
      <c r="C13" s="67">
        <v>313237</v>
      </c>
      <c r="D13" s="67">
        <v>13925347</v>
      </c>
      <c r="E13" s="67">
        <v>550242</v>
      </c>
      <c r="F13" s="60" t="s">
        <v>227</v>
      </c>
      <c r="G13" s="60" t="s">
        <v>227</v>
      </c>
      <c r="H13" s="60" t="s">
        <v>227</v>
      </c>
      <c r="I13" s="67">
        <f>SUM(D13:H13)</f>
        <v>14475589</v>
      </c>
      <c r="J13" s="68">
        <f>(I13/C13)/8.75</f>
        <v>5.281473863468966</v>
      </c>
    </row>
    <row r="14" spans="2:10" ht="12.75">
      <c r="B14" s="70" t="s">
        <v>230</v>
      </c>
      <c r="C14" s="70"/>
      <c r="D14" s="70"/>
      <c r="E14" s="70"/>
      <c r="F14" s="60"/>
      <c r="G14" s="60"/>
      <c r="H14" s="60"/>
      <c r="I14" s="70"/>
      <c r="J14" s="70"/>
    </row>
    <row r="15" spans="2:10" ht="12.75">
      <c r="B15" s="70"/>
      <c r="C15" s="70"/>
      <c r="D15" s="70"/>
      <c r="E15" s="70"/>
      <c r="F15" s="60"/>
      <c r="G15" s="60"/>
      <c r="H15" s="60"/>
      <c r="I15" s="70"/>
      <c r="J15" s="70"/>
    </row>
    <row r="16" spans="2:10" ht="12.75">
      <c r="B16" s="70" t="s">
        <v>226</v>
      </c>
      <c r="C16" s="67">
        <v>87681</v>
      </c>
      <c r="D16" s="67">
        <v>2301167</v>
      </c>
      <c r="E16" s="67">
        <v>546739</v>
      </c>
      <c r="F16" s="60" t="s">
        <v>227</v>
      </c>
      <c r="G16" s="60" t="s">
        <v>227</v>
      </c>
      <c r="H16" s="60" t="s">
        <v>227</v>
      </c>
      <c r="I16" s="67">
        <f>SUM(D16:H16)</f>
        <v>2847906</v>
      </c>
      <c r="J16" s="68">
        <f>(I16/C16)/8.75</f>
        <v>3.712035348919052</v>
      </c>
    </row>
    <row r="17" spans="2:10" ht="12.75">
      <c r="B17" s="70" t="s">
        <v>231</v>
      </c>
      <c r="C17" s="70"/>
      <c r="D17" s="70"/>
      <c r="E17" s="70"/>
      <c r="F17" s="60"/>
      <c r="G17" s="60"/>
      <c r="H17" s="60"/>
      <c r="I17" s="70"/>
      <c r="J17" s="70"/>
    </row>
    <row r="18" spans="2:10" ht="12.75">
      <c r="B18" s="70"/>
      <c r="C18" s="70"/>
      <c r="D18" s="70"/>
      <c r="E18" s="70"/>
      <c r="F18" s="60"/>
      <c r="G18" s="60"/>
      <c r="H18" s="60"/>
      <c r="I18" s="70"/>
      <c r="J18" s="70"/>
    </row>
    <row r="19" spans="2:10" ht="12.75">
      <c r="B19" s="70" t="s">
        <v>232</v>
      </c>
      <c r="C19" s="67">
        <v>69770</v>
      </c>
      <c r="D19" s="67">
        <v>875498</v>
      </c>
      <c r="E19" s="67">
        <v>308722</v>
      </c>
      <c r="F19" s="60" t="s">
        <v>227</v>
      </c>
      <c r="G19" s="60" t="s">
        <v>227</v>
      </c>
      <c r="H19" s="60" t="s">
        <v>227</v>
      </c>
      <c r="I19" s="67">
        <f>SUM(D19:H19)</f>
        <v>1184220</v>
      </c>
      <c r="J19" s="68">
        <f>(I19/C19)/8.75</f>
        <v>1.9397940170765167</v>
      </c>
    </row>
    <row r="20" spans="2:10" ht="12.75">
      <c r="B20" s="70" t="s">
        <v>233</v>
      </c>
      <c r="C20" s="70"/>
      <c r="D20" s="70"/>
      <c r="E20" s="70"/>
      <c r="F20" s="60"/>
      <c r="G20" s="60"/>
      <c r="H20" s="60"/>
      <c r="I20" s="70"/>
      <c r="J20" s="70"/>
    </row>
    <row r="21" spans="2:10" ht="12.75">
      <c r="B21" s="70"/>
      <c r="C21" s="70"/>
      <c r="D21" s="70"/>
      <c r="E21" s="70"/>
      <c r="F21" s="60"/>
      <c r="G21" s="60"/>
      <c r="H21" s="60"/>
      <c r="I21" s="70"/>
      <c r="J21" s="70"/>
    </row>
    <row r="22" spans="2:10" ht="12.75">
      <c r="B22" s="70" t="s">
        <v>234</v>
      </c>
      <c r="C22" s="67">
        <v>65620</v>
      </c>
      <c r="D22" s="67">
        <v>1303909</v>
      </c>
      <c r="E22" s="67">
        <v>343133</v>
      </c>
      <c r="F22" s="60" t="s">
        <v>227</v>
      </c>
      <c r="G22" s="60" t="s">
        <v>227</v>
      </c>
      <c r="H22" s="60" t="s">
        <v>227</v>
      </c>
      <c r="I22" s="67">
        <f>SUM(D22:H22)</f>
        <v>1647042</v>
      </c>
      <c r="J22" s="68">
        <f>(I22/C22)/8.75</f>
        <v>2.8685365959855442</v>
      </c>
    </row>
    <row r="23" spans="2:10" ht="12.75">
      <c r="B23" s="70"/>
      <c r="C23" s="70"/>
      <c r="D23" s="70"/>
      <c r="E23" s="70"/>
      <c r="F23" s="60"/>
      <c r="G23" s="60"/>
      <c r="H23" s="60"/>
      <c r="I23" s="70"/>
      <c r="J23" s="70"/>
    </row>
    <row r="24" spans="2:12" ht="12.75">
      <c r="B24" s="71" t="s">
        <v>235</v>
      </c>
      <c r="C24" s="67">
        <v>63251</v>
      </c>
      <c r="D24" s="67">
        <v>5761350</v>
      </c>
      <c r="E24" s="67">
        <v>141521</v>
      </c>
      <c r="F24" s="60" t="s">
        <v>227</v>
      </c>
      <c r="G24" s="60" t="s">
        <v>227</v>
      </c>
      <c r="H24" s="60" t="s">
        <v>227</v>
      </c>
      <c r="I24" s="67">
        <f>SUM(D24:H24)</f>
        <v>5902871</v>
      </c>
      <c r="J24" s="68">
        <f>(I24/C24)/8.75</f>
        <v>10.665662654684173</v>
      </c>
      <c r="L24" t="s">
        <v>47</v>
      </c>
    </row>
    <row r="25" spans="2:10" ht="12.75">
      <c r="B25" s="71" t="s">
        <v>236</v>
      </c>
      <c r="C25" s="70"/>
      <c r="D25" s="70"/>
      <c r="E25" s="70"/>
      <c r="F25" s="60"/>
      <c r="G25" s="60"/>
      <c r="H25" s="60"/>
      <c r="I25" s="70"/>
      <c r="J25" s="70"/>
    </row>
    <row r="26" spans="2:10" ht="12.75">
      <c r="B26" s="70"/>
      <c r="C26" s="70"/>
      <c r="D26" s="70"/>
      <c r="E26" s="70"/>
      <c r="F26" s="60"/>
      <c r="G26" s="60"/>
      <c r="H26" s="60"/>
      <c r="I26" s="70"/>
      <c r="J26" s="70"/>
    </row>
    <row r="27" spans="2:10" ht="12.75">
      <c r="B27" s="70" t="s">
        <v>237</v>
      </c>
      <c r="C27" s="67">
        <v>174105</v>
      </c>
      <c r="D27" s="67">
        <v>1183554</v>
      </c>
      <c r="E27" s="67">
        <v>303920</v>
      </c>
      <c r="F27" s="60" t="s">
        <v>227</v>
      </c>
      <c r="G27" s="60" t="s">
        <v>227</v>
      </c>
      <c r="H27" s="60" t="s">
        <v>227</v>
      </c>
      <c r="I27" s="67">
        <f>SUM(D27:H27)</f>
        <v>1487474</v>
      </c>
      <c r="J27" s="68">
        <f>(I27/C27)/8.75</f>
        <v>0.9764052070384456</v>
      </c>
    </row>
    <row r="28" spans="2:10" ht="12.75">
      <c r="B28" s="70"/>
      <c r="C28" s="70"/>
      <c r="D28" s="70"/>
      <c r="E28" s="70"/>
      <c r="F28" s="60"/>
      <c r="G28" s="60"/>
      <c r="H28" s="60"/>
      <c r="I28" s="70"/>
      <c r="J28" s="70"/>
    </row>
    <row r="29" spans="2:12" ht="12.75">
      <c r="B29" s="71" t="s">
        <v>238</v>
      </c>
      <c r="C29" s="67">
        <v>123460</v>
      </c>
      <c r="D29" s="67">
        <v>198816</v>
      </c>
      <c r="E29" s="67">
        <v>100792</v>
      </c>
      <c r="F29" s="60" t="s">
        <v>227</v>
      </c>
      <c r="G29" s="60" t="s">
        <v>227</v>
      </c>
      <c r="H29" s="60" t="s">
        <v>227</v>
      </c>
      <c r="I29" s="67">
        <f>SUM(D29:H29)</f>
        <v>299608</v>
      </c>
      <c r="J29" s="68">
        <f>(I29/C29)/8.75</f>
        <v>0.2773441947652218</v>
      </c>
      <c r="L29" t="s">
        <v>48</v>
      </c>
    </row>
    <row r="30" spans="2:10" ht="12.75">
      <c r="B30" s="71"/>
      <c r="C30" s="70"/>
      <c r="D30" s="70"/>
      <c r="E30" s="70"/>
      <c r="F30" s="60"/>
      <c r="G30" s="60"/>
      <c r="H30" s="60"/>
      <c r="I30" s="70"/>
      <c r="J30" s="70"/>
    </row>
    <row r="31" spans="2:12" ht="12.75">
      <c r="B31" s="71" t="s">
        <v>239</v>
      </c>
      <c r="C31" s="67">
        <v>13652</v>
      </c>
      <c r="D31" s="67">
        <v>108990</v>
      </c>
      <c r="E31" s="67">
        <v>68855</v>
      </c>
      <c r="F31" s="60" t="s">
        <v>227</v>
      </c>
      <c r="G31" s="60" t="s">
        <v>227</v>
      </c>
      <c r="H31" s="60" t="s">
        <v>227</v>
      </c>
      <c r="I31" s="67">
        <f>SUM(D31:H31)</f>
        <v>177845</v>
      </c>
      <c r="J31" s="68">
        <f>(I31/C31)/8.75</f>
        <v>1.4888033150558788</v>
      </c>
      <c r="L31" t="s">
        <v>48</v>
      </c>
    </row>
    <row r="32" spans="2:10" ht="13.5" thickBot="1">
      <c r="B32" s="65"/>
      <c r="C32" s="65"/>
      <c r="D32" s="65"/>
      <c r="E32" s="65"/>
      <c r="F32" s="65"/>
      <c r="G32" s="65"/>
      <c r="H32" s="65"/>
      <c r="I32" s="65"/>
      <c r="J32" s="65"/>
    </row>
    <row r="33" spans="2:8" ht="12.75">
      <c r="B33" t="s">
        <v>240</v>
      </c>
      <c r="C33" t="s">
        <v>241</v>
      </c>
      <c r="D33" t="s">
        <v>242</v>
      </c>
      <c r="E33" t="s">
        <v>243</v>
      </c>
      <c r="F33" t="s">
        <v>244</v>
      </c>
      <c r="G33" t="s">
        <v>245</v>
      </c>
      <c r="H33" t="s">
        <v>246</v>
      </c>
    </row>
    <row r="35" spans="1:7" ht="12.75">
      <c r="A35" t="s">
        <v>247</v>
      </c>
      <c r="B35" s="518" t="s">
        <v>209</v>
      </c>
      <c r="C35" s="518"/>
      <c r="D35" s="518"/>
      <c r="E35" s="518"/>
      <c r="F35" s="518"/>
      <c r="G35" t="s">
        <v>210</v>
      </c>
    </row>
    <row r="36" ht="12.75">
      <c r="C36" t="s">
        <v>211</v>
      </c>
    </row>
    <row r="37" ht="12.75">
      <c r="D37" s="54" t="s">
        <v>248</v>
      </c>
    </row>
    <row r="38" ht="13.5" thickBot="1">
      <c r="A38" t="s">
        <v>249</v>
      </c>
    </row>
    <row r="39" spans="2:10" ht="12.75">
      <c r="B39" s="55"/>
      <c r="C39" s="55" t="s">
        <v>212</v>
      </c>
      <c r="D39" s="56"/>
      <c r="E39" s="57" t="s">
        <v>213</v>
      </c>
      <c r="F39" s="57"/>
      <c r="G39" s="57"/>
      <c r="H39" s="58"/>
      <c r="I39" s="59"/>
      <c r="J39" s="59"/>
    </row>
    <row r="40" spans="2:10" ht="13.5" thickBot="1">
      <c r="B40" s="60"/>
      <c r="C40" s="60" t="s">
        <v>214</v>
      </c>
      <c r="D40" s="61"/>
      <c r="E40" s="62"/>
      <c r="F40" s="62"/>
      <c r="G40" s="62"/>
      <c r="H40" s="63"/>
      <c r="I40" s="60" t="s">
        <v>215</v>
      </c>
      <c r="J40" s="60" t="s">
        <v>215</v>
      </c>
    </row>
    <row r="41" spans="2:10" ht="12.75">
      <c r="B41" s="60">
        <v>312</v>
      </c>
      <c r="C41" s="60" t="s">
        <v>216</v>
      </c>
      <c r="D41" s="55" t="s">
        <v>217</v>
      </c>
      <c r="E41" s="55" t="s">
        <v>218</v>
      </c>
      <c r="F41" s="55" t="s">
        <v>219</v>
      </c>
      <c r="G41" s="55" t="s">
        <v>220</v>
      </c>
      <c r="H41" s="55" t="s">
        <v>221</v>
      </c>
      <c r="I41" s="60" t="s">
        <v>90</v>
      </c>
      <c r="J41" s="60" t="s">
        <v>222</v>
      </c>
    </row>
    <row r="42" spans="2:10" ht="13.5" thickBot="1">
      <c r="B42" s="64"/>
      <c r="C42" s="64" t="s">
        <v>223</v>
      </c>
      <c r="D42" s="64"/>
      <c r="E42" s="64"/>
      <c r="F42" s="64" t="s">
        <v>224</v>
      </c>
      <c r="G42" s="64"/>
      <c r="H42" s="64"/>
      <c r="I42" s="65"/>
      <c r="J42" s="64" t="s">
        <v>225</v>
      </c>
    </row>
    <row r="43" spans="1:10" ht="12.75">
      <c r="A43" t="s">
        <v>250</v>
      </c>
      <c r="B43" s="59"/>
      <c r="C43" s="59"/>
      <c r="D43" s="59"/>
      <c r="E43" s="59"/>
      <c r="F43" s="55"/>
      <c r="G43" s="55"/>
      <c r="H43" s="55"/>
      <c r="I43" s="59"/>
      <c r="J43" s="59"/>
    </row>
    <row r="44" spans="2:12" ht="12.75">
      <c r="B44" s="70" t="s">
        <v>226</v>
      </c>
      <c r="C44" s="67">
        <v>491374</v>
      </c>
      <c r="D44" s="67">
        <v>43972349</v>
      </c>
      <c r="E44" s="67">
        <v>541891</v>
      </c>
      <c r="F44" s="60" t="s">
        <v>227</v>
      </c>
      <c r="G44" s="60" t="s">
        <v>227</v>
      </c>
      <c r="H44" s="60" t="s">
        <v>227</v>
      </c>
      <c r="I44" s="67">
        <f>SUM(D44:H44)</f>
        <v>44514240</v>
      </c>
      <c r="J44" s="68">
        <f>(I44/C44)/8.75</f>
        <v>10.353298534895444</v>
      </c>
      <c r="K44" s="69">
        <f>+J44/0.34</f>
        <v>30.45087804381013</v>
      </c>
      <c r="L44" s="6" t="s">
        <v>228</v>
      </c>
    </row>
    <row r="45" spans="2:10" ht="12.75">
      <c r="B45" s="70" t="s">
        <v>229</v>
      </c>
      <c r="C45" s="70"/>
      <c r="D45" s="70"/>
      <c r="E45" s="70"/>
      <c r="F45" s="60"/>
      <c r="G45" s="60"/>
      <c r="H45" s="60"/>
      <c r="I45" s="70"/>
      <c r="J45" s="70"/>
    </row>
    <row r="46" spans="2:10" ht="12.75">
      <c r="B46" s="70"/>
      <c r="C46" s="70"/>
      <c r="D46" s="70"/>
      <c r="E46" s="70"/>
      <c r="F46" s="60"/>
      <c r="G46" s="60"/>
      <c r="H46" s="60"/>
      <c r="I46" s="70"/>
      <c r="J46" s="70"/>
    </row>
    <row r="47" spans="2:10" ht="12.75">
      <c r="B47" s="70" t="s">
        <v>226</v>
      </c>
      <c r="C47" s="67">
        <v>149050</v>
      </c>
      <c r="D47" s="67">
        <v>8364593</v>
      </c>
      <c r="E47" s="67">
        <v>231777</v>
      </c>
      <c r="F47" s="60" t="s">
        <v>227</v>
      </c>
      <c r="G47" s="60" t="s">
        <v>227</v>
      </c>
      <c r="H47" s="60" t="s">
        <v>227</v>
      </c>
      <c r="I47" s="67">
        <f>SUM(D47:H47)</f>
        <v>8596370</v>
      </c>
      <c r="J47" s="68">
        <f>(I47/C47)/8.75</f>
        <v>6.591360521397421</v>
      </c>
    </row>
    <row r="48" spans="2:10" ht="12.75">
      <c r="B48" s="70" t="s">
        <v>230</v>
      </c>
      <c r="C48" s="70"/>
      <c r="D48" s="70"/>
      <c r="E48" s="70"/>
      <c r="F48" s="60"/>
      <c r="G48" s="60"/>
      <c r="H48" s="60"/>
      <c r="I48" s="70"/>
      <c r="J48" s="70"/>
    </row>
    <row r="49" spans="2:10" ht="12.75">
      <c r="B49" s="70"/>
      <c r="C49" s="70"/>
      <c r="D49" s="70"/>
      <c r="E49" s="70"/>
      <c r="F49" s="60"/>
      <c r="G49" s="60"/>
      <c r="H49" s="60"/>
      <c r="I49" s="70"/>
      <c r="J49" s="70"/>
    </row>
    <row r="50" spans="2:10" ht="12.75">
      <c r="B50" s="70" t="s">
        <v>226</v>
      </c>
      <c r="C50" s="67">
        <v>45280</v>
      </c>
      <c r="D50" s="67">
        <v>1584110</v>
      </c>
      <c r="E50" s="67">
        <v>217309</v>
      </c>
      <c r="F50" s="60" t="s">
        <v>227</v>
      </c>
      <c r="G50" s="60" t="s">
        <v>227</v>
      </c>
      <c r="H50" s="60" t="s">
        <v>227</v>
      </c>
      <c r="I50" s="67">
        <f>SUM(D50:H50)</f>
        <v>1801419</v>
      </c>
      <c r="J50" s="68">
        <f>(I50/C50)/8.75</f>
        <v>4.546741544674407</v>
      </c>
    </row>
    <row r="51" spans="2:10" ht="12.75">
      <c r="B51" s="70" t="s">
        <v>231</v>
      </c>
      <c r="C51" s="70"/>
      <c r="D51" s="70"/>
      <c r="E51" s="70"/>
      <c r="F51" s="60"/>
      <c r="G51" s="60"/>
      <c r="H51" s="60"/>
      <c r="I51" s="70"/>
      <c r="J51" s="70"/>
    </row>
    <row r="52" spans="2:10" ht="12.75">
      <c r="B52" s="70"/>
      <c r="C52" s="70"/>
      <c r="D52" s="70"/>
      <c r="E52" s="70"/>
      <c r="F52" s="60"/>
      <c r="G52" s="60"/>
      <c r="H52" s="60"/>
      <c r="I52" s="70"/>
      <c r="J52" s="70"/>
    </row>
    <row r="53" spans="2:10" ht="12.75">
      <c r="B53" s="70" t="s">
        <v>232</v>
      </c>
      <c r="C53" s="67">
        <v>27652</v>
      </c>
      <c r="D53" s="67">
        <v>429761</v>
      </c>
      <c r="E53" s="67">
        <v>129964</v>
      </c>
      <c r="F53" s="60" t="s">
        <v>227</v>
      </c>
      <c r="G53" s="60" t="s">
        <v>227</v>
      </c>
      <c r="H53" s="60" t="s">
        <v>227</v>
      </c>
      <c r="I53" s="67">
        <f>SUM(D53:H53)</f>
        <v>559725</v>
      </c>
      <c r="J53" s="68">
        <f>(I53/C53)/8.75</f>
        <v>2.313343390299849</v>
      </c>
    </row>
    <row r="54" spans="2:10" ht="12.75">
      <c r="B54" s="70" t="s">
        <v>233</v>
      </c>
      <c r="C54" s="70"/>
      <c r="D54" s="70"/>
      <c r="E54" s="70"/>
      <c r="F54" s="60"/>
      <c r="G54" s="60"/>
      <c r="H54" s="60"/>
      <c r="I54" s="70"/>
      <c r="J54" s="70"/>
    </row>
    <row r="55" spans="2:10" ht="12.75">
      <c r="B55" s="70"/>
      <c r="C55" s="70"/>
      <c r="D55" s="70"/>
      <c r="E55" s="70"/>
      <c r="F55" s="60"/>
      <c r="G55" s="60"/>
      <c r="H55" s="60"/>
      <c r="I55" s="70"/>
      <c r="J55" s="70"/>
    </row>
    <row r="56" spans="2:10" ht="12.75">
      <c r="B56" s="70" t="s">
        <v>234</v>
      </c>
      <c r="C56" s="67">
        <v>54307</v>
      </c>
      <c r="D56" s="67">
        <v>1172533</v>
      </c>
      <c r="E56" s="67">
        <v>265391</v>
      </c>
      <c r="F56" s="60" t="s">
        <v>227</v>
      </c>
      <c r="G56" s="60" t="s">
        <v>227</v>
      </c>
      <c r="H56" s="60" t="s">
        <v>227</v>
      </c>
      <c r="I56" s="67">
        <f>SUM(D56:H56)</f>
        <v>1437924</v>
      </c>
      <c r="J56" s="68">
        <f>(I56/C56)/8.75</f>
        <v>3.0260219019384507</v>
      </c>
    </row>
    <row r="57" spans="2:10" ht="12.75">
      <c r="B57" s="70"/>
      <c r="C57" s="70"/>
      <c r="D57" s="70"/>
      <c r="E57" s="70"/>
      <c r="F57" s="60"/>
      <c r="G57" s="60"/>
      <c r="H57" s="60"/>
      <c r="I57" s="70"/>
      <c r="J57" s="70"/>
    </row>
    <row r="58" spans="2:10" ht="12.75">
      <c r="B58" s="70" t="s">
        <v>235</v>
      </c>
      <c r="C58" s="67">
        <v>29755</v>
      </c>
      <c r="D58" s="67">
        <v>2962894</v>
      </c>
      <c r="E58" s="67">
        <v>43086</v>
      </c>
      <c r="F58" s="60" t="s">
        <v>227</v>
      </c>
      <c r="G58" s="60" t="s">
        <v>227</v>
      </c>
      <c r="H58" s="60" t="s">
        <v>227</v>
      </c>
      <c r="I58" s="67">
        <f>SUM(D58:H58)</f>
        <v>3005980</v>
      </c>
      <c r="J58" s="68">
        <f>(I58/C58)/8.75</f>
        <v>11.545641788895024</v>
      </c>
    </row>
    <row r="59" spans="2:10" ht="12.75">
      <c r="B59" s="70" t="s">
        <v>236</v>
      </c>
      <c r="C59" s="70"/>
      <c r="D59" s="70"/>
      <c r="E59" s="70"/>
      <c r="F59" s="60"/>
      <c r="G59" s="60"/>
      <c r="H59" s="60"/>
      <c r="I59" s="70"/>
      <c r="J59" s="70"/>
    </row>
    <row r="60" spans="2:10" ht="12.75">
      <c r="B60" s="70"/>
      <c r="C60" s="70"/>
      <c r="D60" s="70"/>
      <c r="E60" s="70"/>
      <c r="F60" s="60"/>
      <c r="G60" s="60"/>
      <c r="H60" s="60"/>
      <c r="I60" s="70"/>
      <c r="J60" s="70"/>
    </row>
    <row r="61" spans="2:10" ht="12.75">
      <c r="B61" s="70" t="s">
        <v>237</v>
      </c>
      <c r="C61" s="67">
        <v>29545</v>
      </c>
      <c r="D61" s="67">
        <v>520192</v>
      </c>
      <c r="E61" s="67">
        <v>75711</v>
      </c>
      <c r="F61" s="60" t="s">
        <v>227</v>
      </c>
      <c r="G61" s="60" t="s">
        <v>227</v>
      </c>
      <c r="H61" s="60" t="s">
        <v>227</v>
      </c>
      <c r="I61" s="67">
        <f>SUM(D61:H61)</f>
        <v>595903</v>
      </c>
      <c r="J61" s="68">
        <f>(I61/C61)/8.75</f>
        <v>2.3050668471822644</v>
      </c>
    </row>
    <row r="62" spans="2:10" ht="12.75">
      <c r="B62" s="70"/>
      <c r="C62" s="70"/>
      <c r="D62" s="70"/>
      <c r="E62" s="70"/>
      <c r="F62" s="60"/>
      <c r="G62" s="60"/>
      <c r="H62" s="60"/>
      <c r="I62" s="70"/>
      <c r="J62" s="70"/>
    </row>
    <row r="63" spans="2:10" ht="12.75">
      <c r="B63" s="70" t="s">
        <v>238</v>
      </c>
      <c r="C63" s="67">
        <v>7500</v>
      </c>
      <c r="D63" s="67">
        <v>69433</v>
      </c>
      <c r="E63" s="67">
        <v>10902</v>
      </c>
      <c r="F63" s="60" t="s">
        <v>227</v>
      </c>
      <c r="G63" s="60" t="s">
        <v>227</v>
      </c>
      <c r="H63" s="60" t="s">
        <v>227</v>
      </c>
      <c r="I63" s="67">
        <f>SUM(D63:H63)</f>
        <v>80335</v>
      </c>
      <c r="J63" s="68">
        <f>(I63/C63)/8.75</f>
        <v>1.224152380952381</v>
      </c>
    </row>
    <row r="64" spans="2:10" ht="12.75">
      <c r="B64" s="70"/>
      <c r="C64" s="70"/>
      <c r="D64" s="70"/>
      <c r="E64" s="70"/>
      <c r="F64" s="60"/>
      <c r="G64" s="60"/>
      <c r="H64" s="60"/>
      <c r="I64" s="70"/>
      <c r="J64" s="70"/>
    </row>
    <row r="65" spans="2:10" ht="12.75">
      <c r="B65" s="70" t="s">
        <v>239</v>
      </c>
      <c r="C65" s="67">
        <v>1449</v>
      </c>
      <c r="D65" s="67">
        <v>31789</v>
      </c>
      <c r="E65" s="67">
        <v>9270</v>
      </c>
      <c r="F65" s="60" t="s">
        <v>227</v>
      </c>
      <c r="G65" s="60" t="s">
        <v>227</v>
      </c>
      <c r="H65" s="60" t="s">
        <v>227</v>
      </c>
      <c r="I65" s="67">
        <f>SUM(D65:H65)</f>
        <v>41059</v>
      </c>
      <c r="J65" s="68">
        <f>(I65/C65)/8.75</f>
        <v>3.2384107266094846</v>
      </c>
    </row>
    <row r="66" spans="2:10" ht="13.5" thickBot="1">
      <c r="B66" s="65"/>
      <c r="C66" s="65"/>
      <c r="D66" s="65"/>
      <c r="E66" s="65"/>
      <c r="F66" s="64"/>
      <c r="G66" s="64"/>
      <c r="H66" s="64"/>
      <c r="I66" s="65"/>
      <c r="J66" s="65"/>
    </row>
    <row r="67" spans="2:8" ht="12.75">
      <c r="B67" t="s">
        <v>240</v>
      </c>
      <c r="C67" t="s">
        <v>241</v>
      </c>
      <c r="D67" t="s">
        <v>242</v>
      </c>
      <c r="E67" t="s">
        <v>243</v>
      </c>
      <c r="F67" t="s">
        <v>244</v>
      </c>
      <c r="G67" t="s">
        <v>245</v>
      </c>
      <c r="H67" t="s">
        <v>246</v>
      </c>
    </row>
    <row r="68" spans="1:7" ht="12.75">
      <c r="A68" t="s">
        <v>247</v>
      </c>
      <c r="B68" s="518" t="s">
        <v>209</v>
      </c>
      <c r="C68" s="518"/>
      <c r="D68" s="518"/>
      <c r="E68" s="518"/>
      <c r="F68" s="518"/>
      <c r="G68" t="s">
        <v>210</v>
      </c>
    </row>
    <row r="69" ht="12.75">
      <c r="C69" t="s">
        <v>211</v>
      </c>
    </row>
    <row r="70" ht="12.75">
      <c r="D70" s="54" t="s">
        <v>251</v>
      </c>
    </row>
    <row r="71" ht="13.5" thickBot="1">
      <c r="A71" t="s">
        <v>249</v>
      </c>
    </row>
    <row r="72" spans="2:10" ht="12.75">
      <c r="B72" s="55"/>
      <c r="C72" s="55" t="s">
        <v>212</v>
      </c>
      <c r="D72" s="56"/>
      <c r="E72" s="57" t="s">
        <v>213</v>
      </c>
      <c r="F72" s="57"/>
      <c r="G72" s="57"/>
      <c r="H72" s="58"/>
      <c r="I72" s="59"/>
      <c r="J72" s="59"/>
    </row>
    <row r="73" spans="2:10" ht="13.5" thickBot="1">
      <c r="B73" s="60"/>
      <c r="C73" s="60" t="s">
        <v>214</v>
      </c>
      <c r="D73" s="61"/>
      <c r="E73" s="62"/>
      <c r="F73" s="62"/>
      <c r="G73" s="62"/>
      <c r="H73" s="63"/>
      <c r="I73" s="60" t="s">
        <v>215</v>
      </c>
      <c r="J73" s="60" t="s">
        <v>215</v>
      </c>
    </row>
    <row r="74" spans="2:21" ht="12.75">
      <c r="B74" s="60">
        <v>312</v>
      </c>
      <c r="C74" s="60" t="s">
        <v>216</v>
      </c>
      <c r="D74" s="55" t="s">
        <v>217</v>
      </c>
      <c r="E74" s="55" t="s">
        <v>218</v>
      </c>
      <c r="F74" s="55" t="s">
        <v>219</v>
      </c>
      <c r="G74" s="55" t="s">
        <v>220</v>
      </c>
      <c r="H74" s="55" t="s">
        <v>221</v>
      </c>
      <c r="I74" s="60" t="s">
        <v>90</v>
      </c>
      <c r="J74" s="60" t="s">
        <v>222</v>
      </c>
      <c r="N74" s="518" t="s">
        <v>252</v>
      </c>
      <c r="O74" s="518"/>
      <c r="P74" s="518" t="s">
        <v>253</v>
      </c>
      <c r="Q74" s="518"/>
      <c r="R74" s="45" t="s">
        <v>49</v>
      </c>
      <c r="S74" s="45" t="s">
        <v>50</v>
      </c>
      <c r="T74" s="518" t="s">
        <v>254</v>
      </c>
      <c r="U74" s="518"/>
    </row>
    <row r="75" spans="2:21" ht="13.5" thickBot="1">
      <c r="B75" s="64"/>
      <c r="C75" s="64" t="s">
        <v>223</v>
      </c>
      <c r="D75" s="64"/>
      <c r="E75" s="64"/>
      <c r="F75" s="64" t="s">
        <v>224</v>
      </c>
      <c r="G75" s="64"/>
      <c r="H75" s="64"/>
      <c r="I75" s="65"/>
      <c r="J75" s="64" t="s">
        <v>225</v>
      </c>
      <c r="N75" s="45" t="s">
        <v>255</v>
      </c>
      <c r="O75" s="45" t="s">
        <v>256</v>
      </c>
      <c r="P75" s="45" t="s">
        <v>257</v>
      </c>
      <c r="Q75" s="45" t="s">
        <v>258</v>
      </c>
      <c r="R75" s="45" t="s">
        <v>259</v>
      </c>
      <c r="S75" s="72" t="s">
        <v>260</v>
      </c>
      <c r="T75" s="45" t="s">
        <v>2</v>
      </c>
      <c r="U75" s="45" t="s">
        <v>261</v>
      </c>
    </row>
    <row r="76" spans="1:21" ht="12.75">
      <c r="A76" t="s">
        <v>250</v>
      </c>
      <c r="B76" s="59"/>
      <c r="C76" s="59"/>
      <c r="D76" s="59"/>
      <c r="E76" s="59"/>
      <c r="F76" s="59"/>
      <c r="G76" s="59"/>
      <c r="H76" s="59"/>
      <c r="I76" s="59"/>
      <c r="J76" s="59"/>
      <c r="R76" s="73"/>
      <c r="S76" s="73"/>
      <c r="U76" s="4"/>
    </row>
    <row r="77" spans="2:19" ht="12.75">
      <c r="B77" s="74" t="s">
        <v>226</v>
      </c>
      <c r="C77" s="75">
        <v>40633</v>
      </c>
      <c r="D77" s="75">
        <v>2179274</v>
      </c>
      <c r="E77" s="75">
        <v>85002</v>
      </c>
      <c r="F77" s="76" t="s">
        <v>227</v>
      </c>
      <c r="G77" s="76" t="s">
        <v>227</v>
      </c>
      <c r="H77" s="76" t="s">
        <v>227</v>
      </c>
      <c r="I77" s="75">
        <f>SUM(D77:H77)</f>
        <v>2264276</v>
      </c>
      <c r="J77" s="77">
        <f>(I77/C77)/8.75</f>
        <v>6.368577264784781</v>
      </c>
      <c r="L77" t="s">
        <v>262</v>
      </c>
      <c r="N77" s="78">
        <f>+J77/O77</f>
        <v>18.731109602308177</v>
      </c>
      <c r="O77" s="73">
        <v>0.34</v>
      </c>
      <c r="P77" s="24"/>
      <c r="Q77" s="24"/>
      <c r="R77" s="73"/>
      <c r="S77" s="73"/>
    </row>
    <row r="78" spans="2:19" ht="12.75">
      <c r="B78" s="74" t="s">
        <v>229</v>
      </c>
      <c r="C78" s="74"/>
      <c r="D78" s="74"/>
      <c r="E78" s="74"/>
      <c r="F78" s="76"/>
      <c r="G78" s="76"/>
      <c r="H78" s="76"/>
      <c r="I78" s="74"/>
      <c r="J78" s="74"/>
      <c r="L78" t="s">
        <v>263</v>
      </c>
      <c r="N78" s="24"/>
      <c r="O78" s="24"/>
      <c r="P78" s="24"/>
      <c r="Q78" s="24"/>
      <c r="R78" s="73"/>
      <c r="S78" s="73"/>
    </row>
    <row r="79" spans="2:19" ht="12.75">
      <c r="B79" s="70"/>
      <c r="C79" s="70"/>
      <c r="D79" s="70"/>
      <c r="E79" s="70"/>
      <c r="F79" s="60"/>
      <c r="G79" s="60"/>
      <c r="H79" s="60"/>
      <c r="I79" s="70"/>
      <c r="J79" s="70"/>
      <c r="N79" s="24"/>
      <c r="O79" s="24"/>
      <c r="P79" s="24"/>
      <c r="Q79" s="24"/>
      <c r="R79" s="73"/>
      <c r="S79" s="73"/>
    </row>
    <row r="80" spans="2:19" ht="12.75">
      <c r="B80" s="70" t="s">
        <v>226</v>
      </c>
      <c r="C80" s="67">
        <v>164186</v>
      </c>
      <c r="D80" s="67">
        <v>5560755</v>
      </c>
      <c r="E80" s="67">
        <v>318465</v>
      </c>
      <c r="F80" s="60" t="s">
        <v>227</v>
      </c>
      <c r="G80" s="60" t="s">
        <v>227</v>
      </c>
      <c r="H80" s="60" t="s">
        <v>227</v>
      </c>
      <c r="I80" s="67">
        <f>SUM(D80:H80)</f>
        <v>5879220</v>
      </c>
      <c r="J80" s="68">
        <f>(I80/C80)/8.75</f>
        <v>4.092376068257082</v>
      </c>
      <c r="N80" s="24"/>
      <c r="O80" s="24"/>
      <c r="P80" s="24"/>
      <c r="Q80" s="24"/>
      <c r="R80" s="73"/>
      <c r="S80" s="73"/>
    </row>
    <row r="81" spans="2:19" ht="12.75">
      <c r="B81" s="70" t="s">
        <v>230</v>
      </c>
      <c r="C81" s="70"/>
      <c r="D81" s="70"/>
      <c r="E81" s="70"/>
      <c r="F81" s="60"/>
      <c r="G81" s="60"/>
      <c r="H81" s="60"/>
      <c r="I81" s="70"/>
      <c r="J81" s="70"/>
      <c r="N81" s="24"/>
      <c r="O81" s="24"/>
      <c r="P81" s="24"/>
      <c r="Q81" s="24"/>
      <c r="R81" s="73"/>
      <c r="S81" s="73"/>
    </row>
    <row r="82" spans="2:19" ht="12.75">
      <c r="B82" s="70"/>
      <c r="C82" s="70"/>
      <c r="D82" s="70"/>
      <c r="E82" s="70"/>
      <c r="F82" s="60"/>
      <c r="G82" s="60"/>
      <c r="H82" s="60"/>
      <c r="I82" s="70"/>
      <c r="J82" s="70"/>
      <c r="N82" s="24"/>
      <c r="O82" s="24"/>
      <c r="P82" s="24"/>
      <c r="Q82" s="24"/>
      <c r="R82" s="73"/>
      <c r="S82" s="73"/>
    </row>
    <row r="83" spans="2:19" ht="12.75">
      <c r="B83" s="70" t="s">
        <v>226</v>
      </c>
      <c r="C83" s="67">
        <v>42401</v>
      </c>
      <c r="D83" s="67">
        <v>717057</v>
      </c>
      <c r="E83" s="67">
        <v>329430</v>
      </c>
      <c r="F83" s="60" t="s">
        <v>227</v>
      </c>
      <c r="G83" s="60" t="s">
        <v>227</v>
      </c>
      <c r="H83" s="60" t="s">
        <v>227</v>
      </c>
      <c r="I83" s="67">
        <f>SUM(D83:H83)</f>
        <v>1046487</v>
      </c>
      <c r="J83" s="68">
        <f>(I83/C83)/8.75</f>
        <v>2.8206531517113813</v>
      </c>
      <c r="N83" s="24"/>
      <c r="O83" s="24"/>
      <c r="P83" s="24"/>
      <c r="Q83" s="24"/>
      <c r="R83" s="73"/>
      <c r="S83" s="73"/>
    </row>
    <row r="84" spans="2:19" ht="12.75">
      <c r="B84" s="70" t="s">
        <v>231</v>
      </c>
      <c r="C84" s="70"/>
      <c r="D84" s="70"/>
      <c r="E84" s="70"/>
      <c r="F84" s="60"/>
      <c r="G84" s="60"/>
      <c r="H84" s="60"/>
      <c r="I84" s="70"/>
      <c r="J84" s="70"/>
      <c r="N84" s="24"/>
      <c r="O84" s="24"/>
      <c r="P84" s="24"/>
      <c r="Q84" s="24"/>
      <c r="R84" s="73"/>
      <c r="S84" s="73"/>
    </row>
    <row r="85" spans="2:19" ht="12.75">
      <c r="B85" s="70"/>
      <c r="C85" s="70"/>
      <c r="D85" s="70"/>
      <c r="E85" s="70"/>
      <c r="F85" s="60"/>
      <c r="G85" s="60"/>
      <c r="H85" s="60"/>
      <c r="I85" s="70"/>
      <c r="J85" s="70"/>
      <c r="N85" s="24"/>
      <c r="O85" s="24"/>
      <c r="P85" s="24"/>
      <c r="Q85" s="24"/>
      <c r="R85" s="73"/>
      <c r="S85" s="73"/>
    </row>
    <row r="86" spans="2:19" ht="12.75">
      <c r="B86" s="70" t="s">
        <v>232</v>
      </c>
      <c r="C86" s="67">
        <v>42118</v>
      </c>
      <c r="D86" s="67">
        <v>445737</v>
      </c>
      <c r="E86" s="67">
        <v>178758</v>
      </c>
      <c r="F86" s="60" t="s">
        <v>227</v>
      </c>
      <c r="G86" s="60" t="s">
        <v>227</v>
      </c>
      <c r="H86" s="60" t="s">
        <v>227</v>
      </c>
      <c r="I86" s="67">
        <f>SUM(D86:H86)</f>
        <v>624495</v>
      </c>
      <c r="J86" s="68">
        <f>(I86/C86)/8.75</f>
        <v>1.6945452572025534</v>
      </c>
      <c r="N86" s="24"/>
      <c r="O86" s="24"/>
      <c r="P86" s="24"/>
      <c r="Q86" s="24"/>
      <c r="R86" s="73"/>
      <c r="S86" s="73"/>
    </row>
    <row r="87" spans="2:19" ht="12.75">
      <c r="B87" s="70" t="s">
        <v>233</v>
      </c>
      <c r="C87" s="70"/>
      <c r="D87" s="70"/>
      <c r="E87" s="70"/>
      <c r="F87" s="60"/>
      <c r="G87" s="60"/>
      <c r="H87" s="60"/>
      <c r="I87" s="70"/>
      <c r="J87" s="70"/>
      <c r="N87" s="24"/>
      <c r="O87" s="24"/>
      <c r="P87" s="24"/>
      <c r="Q87" s="24"/>
      <c r="R87" s="73"/>
      <c r="S87" s="73"/>
    </row>
    <row r="88" spans="2:19" ht="12.75">
      <c r="B88" s="70"/>
      <c r="C88" s="70"/>
      <c r="D88" s="70"/>
      <c r="E88" s="70"/>
      <c r="F88" s="60"/>
      <c r="G88" s="60"/>
      <c r="H88" s="60"/>
      <c r="I88" s="70"/>
      <c r="J88" s="70"/>
      <c r="N88" s="24"/>
      <c r="O88" s="24"/>
      <c r="P88" s="24"/>
      <c r="Q88" s="24"/>
      <c r="R88" s="73"/>
      <c r="S88" s="73"/>
    </row>
    <row r="89" spans="2:19" ht="12.75">
      <c r="B89" s="70" t="s">
        <v>234</v>
      </c>
      <c r="C89" s="67">
        <v>11313</v>
      </c>
      <c r="D89" s="67">
        <v>131377</v>
      </c>
      <c r="E89" s="67">
        <v>77743</v>
      </c>
      <c r="F89" s="60" t="s">
        <v>227</v>
      </c>
      <c r="G89" s="60" t="s">
        <v>227</v>
      </c>
      <c r="H89" s="60" t="s">
        <v>227</v>
      </c>
      <c r="I89" s="67">
        <f>SUM(D89:H89)</f>
        <v>209120</v>
      </c>
      <c r="J89" s="68">
        <f>(I89/C89)/8.75</f>
        <v>2.1125632963341796</v>
      </c>
      <c r="N89" s="24"/>
      <c r="O89" s="24"/>
      <c r="P89" s="24"/>
      <c r="Q89" s="24"/>
      <c r="R89" s="73"/>
      <c r="S89" s="73"/>
    </row>
    <row r="90" spans="2:19" ht="12.75">
      <c r="B90" s="70"/>
      <c r="C90" s="70"/>
      <c r="D90" s="70"/>
      <c r="E90" s="70"/>
      <c r="F90" s="60"/>
      <c r="G90" s="60"/>
      <c r="H90" s="60"/>
      <c r="I90" s="70"/>
      <c r="J90" s="70"/>
      <c r="N90" s="24"/>
      <c r="O90" s="24"/>
      <c r="P90" s="24"/>
      <c r="Q90" s="24"/>
      <c r="R90" s="73"/>
      <c r="S90" s="73"/>
    </row>
    <row r="91" spans="2:21" ht="12.75">
      <c r="B91" s="79" t="s">
        <v>235</v>
      </c>
      <c r="C91" s="80">
        <v>33496</v>
      </c>
      <c r="D91" s="80">
        <v>2798455</v>
      </c>
      <c r="E91" s="80">
        <v>98436</v>
      </c>
      <c r="F91" s="81" t="s">
        <v>227</v>
      </c>
      <c r="G91" s="81" t="s">
        <v>227</v>
      </c>
      <c r="H91" s="81" t="s">
        <v>227</v>
      </c>
      <c r="I91" s="80">
        <f>SUM(D91:H91)</f>
        <v>2896891</v>
      </c>
      <c r="J91" s="82">
        <f>(I91/C91)/8.75</f>
        <v>9.88396397011157</v>
      </c>
      <c r="L91" t="s">
        <v>47</v>
      </c>
      <c r="N91" s="83">
        <f>+J91/O91</f>
        <v>3.2946546567038566</v>
      </c>
      <c r="O91" s="24">
        <v>3</v>
      </c>
      <c r="P91" s="24">
        <v>18</v>
      </c>
      <c r="Q91" s="73">
        <v>0.43</v>
      </c>
      <c r="R91" s="73">
        <f>+N91*(O91-Q91)</f>
        <v>8.467262467728911</v>
      </c>
      <c r="S91" s="73">
        <f>+(P91-N91)*(O91-Q91)/2</f>
        <v>18.89636876613554</v>
      </c>
      <c r="T91" s="73">
        <f>+R91+S91</f>
        <v>27.363631233864453</v>
      </c>
      <c r="U91" s="73">
        <f>+T91*12000*0.313*0.875*12</f>
        <v>1079166.8886011464</v>
      </c>
    </row>
    <row r="92" spans="2:17" ht="12.75">
      <c r="B92" s="79" t="s">
        <v>236</v>
      </c>
      <c r="C92" s="79"/>
      <c r="D92" s="79"/>
      <c r="E92" s="79"/>
      <c r="F92" s="81"/>
      <c r="G92" s="81"/>
      <c r="H92" s="81"/>
      <c r="I92" s="79"/>
      <c r="J92" s="79"/>
      <c r="L92" t="s">
        <v>264</v>
      </c>
      <c r="N92" s="24">
        <f>+N91*O91</f>
        <v>9.88396397011157</v>
      </c>
      <c r="O92" s="24"/>
      <c r="P92" s="73">
        <f>+P91*Q91</f>
        <v>7.74</v>
      </c>
      <c r="Q92" s="24"/>
    </row>
    <row r="93" spans="2:17" ht="12.75">
      <c r="B93" s="70"/>
      <c r="C93" s="70"/>
      <c r="D93" s="70"/>
      <c r="E93" s="70"/>
      <c r="F93" s="60"/>
      <c r="G93" s="60"/>
      <c r="H93" s="60"/>
      <c r="I93" s="70"/>
      <c r="J93" s="70"/>
      <c r="N93" s="24"/>
      <c r="O93" s="24"/>
      <c r="P93" s="24"/>
      <c r="Q93" s="24"/>
    </row>
    <row r="94" spans="2:17" ht="12.75">
      <c r="B94" s="70" t="s">
        <v>237</v>
      </c>
      <c r="C94" s="67">
        <v>144560</v>
      </c>
      <c r="D94" s="67">
        <v>663362</v>
      </c>
      <c r="E94" s="67">
        <v>228209</v>
      </c>
      <c r="F94" s="60" t="s">
        <v>227</v>
      </c>
      <c r="G94" s="60" t="s">
        <v>227</v>
      </c>
      <c r="H94" s="60" t="s">
        <v>227</v>
      </c>
      <c r="I94" s="67">
        <f>SUM(D94:H94)</f>
        <v>891571</v>
      </c>
      <c r="J94" s="68">
        <f>(I94/C94)/8.75</f>
        <v>0.7048549292434184</v>
      </c>
      <c r="N94" s="24"/>
      <c r="O94" s="24"/>
      <c r="P94" s="24"/>
      <c r="Q94" s="24"/>
    </row>
    <row r="95" spans="2:17" ht="12.75">
      <c r="B95" s="70"/>
      <c r="C95" s="70"/>
      <c r="D95" s="70"/>
      <c r="E95" s="70"/>
      <c r="F95" s="60"/>
      <c r="G95" s="60"/>
      <c r="H95" s="60"/>
      <c r="I95" s="70"/>
      <c r="J95" s="70"/>
      <c r="N95" s="24"/>
      <c r="O95" s="24"/>
      <c r="P95" s="24"/>
      <c r="Q95" s="24"/>
    </row>
    <row r="96" spans="2:17" ht="12.75">
      <c r="B96" s="70" t="s">
        <v>238</v>
      </c>
      <c r="C96" s="67">
        <v>115960</v>
      </c>
      <c r="D96" s="67">
        <v>129382</v>
      </c>
      <c r="E96" s="67">
        <v>89891</v>
      </c>
      <c r="F96" s="60" t="s">
        <v>227</v>
      </c>
      <c r="G96" s="60" t="s">
        <v>227</v>
      </c>
      <c r="H96" s="60" t="s">
        <v>227</v>
      </c>
      <c r="I96" s="67">
        <f>SUM(D96:H96)</f>
        <v>219273</v>
      </c>
      <c r="J96" s="68">
        <f>(I96/C96)/8.75</f>
        <v>0.21610703198147144</v>
      </c>
      <c r="L96" t="s">
        <v>48</v>
      </c>
      <c r="N96" s="24"/>
      <c r="O96" s="24"/>
      <c r="P96" s="24">
        <f>+P91</f>
        <v>18</v>
      </c>
      <c r="Q96" s="73">
        <f>+Q91</f>
        <v>0.43</v>
      </c>
    </row>
    <row r="97" spans="2:17" ht="12.75">
      <c r="B97" s="70"/>
      <c r="C97" s="70"/>
      <c r="D97" s="70"/>
      <c r="E97" s="70"/>
      <c r="F97" s="60"/>
      <c r="G97" s="60"/>
      <c r="H97" s="60"/>
      <c r="I97" s="70"/>
      <c r="J97" s="70"/>
      <c r="N97" s="24"/>
      <c r="O97" s="24"/>
      <c r="P97" s="73">
        <f>+P96*Q96</f>
        <v>7.74</v>
      </c>
      <c r="Q97" s="24"/>
    </row>
    <row r="98" spans="2:17" ht="12.75">
      <c r="B98" s="70" t="s">
        <v>239</v>
      </c>
      <c r="C98" s="67">
        <v>12203</v>
      </c>
      <c r="D98" s="67">
        <v>77201</v>
      </c>
      <c r="E98" s="67">
        <v>59584</v>
      </c>
      <c r="F98" s="60" t="s">
        <v>227</v>
      </c>
      <c r="G98" s="60" t="s">
        <v>227</v>
      </c>
      <c r="H98" s="60" t="s">
        <v>227</v>
      </c>
      <c r="I98" s="67">
        <f>SUM(D98:H98)</f>
        <v>136785</v>
      </c>
      <c r="J98" s="68">
        <f>(I98/C98)/8.75</f>
        <v>1.28104330316901</v>
      </c>
      <c r="L98" t="s">
        <v>48</v>
      </c>
      <c r="N98" s="24"/>
      <c r="O98" s="24"/>
      <c r="P98" s="24"/>
      <c r="Q98" s="24"/>
    </row>
    <row r="99" spans="2:10" ht="13.5" thickBot="1">
      <c r="B99" s="65"/>
      <c r="C99" s="65"/>
      <c r="D99" s="65"/>
      <c r="E99" s="65"/>
      <c r="F99" s="64"/>
      <c r="G99" s="64"/>
      <c r="H99" s="64"/>
      <c r="I99" s="65"/>
      <c r="J99" s="65"/>
    </row>
    <row r="100" spans="2:8" ht="12.75">
      <c r="B100" t="s">
        <v>240</v>
      </c>
      <c r="C100" t="s">
        <v>241</v>
      </c>
      <c r="D100" t="s">
        <v>242</v>
      </c>
      <c r="E100" t="s">
        <v>243</v>
      </c>
      <c r="F100" t="s">
        <v>244</v>
      </c>
      <c r="G100" t="s">
        <v>245</v>
      </c>
      <c r="H100" t="s">
        <v>246</v>
      </c>
    </row>
  </sheetData>
  <sheetProtection/>
  <mergeCells count="6">
    <mergeCell ref="T74:U74"/>
    <mergeCell ref="B1:F1"/>
    <mergeCell ref="B35:F35"/>
    <mergeCell ref="B68:F68"/>
    <mergeCell ref="P74:Q74"/>
    <mergeCell ref="N74:O74"/>
  </mergeCells>
  <printOptions/>
  <pageMargins left="0.75" right="0.75" top="1" bottom="1"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2:O39"/>
  <sheetViews>
    <sheetView zoomScalePageLayoutView="0" workbookViewId="0" topLeftCell="H1">
      <selection activeCell="P20" sqref="P20"/>
    </sheetView>
  </sheetViews>
  <sheetFormatPr defaultColWidth="11.421875" defaultRowHeight="12.75"/>
  <cols>
    <col min="1" max="1" width="27.7109375" style="0" bestFit="1" customWidth="1"/>
    <col min="2" max="2" width="11.57421875" style="0" customWidth="1"/>
    <col min="3" max="7" width="11.421875" style="0" customWidth="1"/>
    <col min="8" max="8" width="2.7109375" style="0" customWidth="1"/>
    <col min="9" max="9" width="45.00390625" style="0" customWidth="1"/>
    <col min="10" max="16" width="11.421875" style="7" customWidth="1"/>
  </cols>
  <sheetData>
    <row r="2" spans="9:15" ht="13.5" thickBot="1">
      <c r="I2" s="7" t="s">
        <v>0</v>
      </c>
      <c r="M2" s="8"/>
      <c r="N2" s="8"/>
      <c r="O2" s="8"/>
    </row>
    <row r="3" spans="1:15" ht="12.75">
      <c r="A3" t="s">
        <v>15</v>
      </c>
      <c r="C3" t="s">
        <v>16</v>
      </c>
      <c r="D3" t="s">
        <v>17</v>
      </c>
      <c r="E3" t="s">
        <v>18</v>
      </c>
      <c r="F3" s="9" t="s">
        <v>18</v>
      </c>
      <c r="J3" s="7" t="s">
        <v>1</v>
      </c>
      <c r="K3" s="7">
        <v>2007</v>
      </c>
      <c r="L3" s="7">
        <v>2008</v>
      </c>
      <c r="M3" s="7">
        <v>2009</v>
      </c>
      <c r="N3" s="7">
        <v>2010</v>
      </c>
      <c r="O3" s="7">
        <v>2011</v>
      </c>
    </row>
    <row r="4" spans="1:15" ht="12.75">
      <c r="A4" s="3" t="s">
        <v>19</v>
      </c>
      <c r="B4" s="3"/>
      <c r="C4" s="10">
        <f>SUM(C5:C9)</f>
        <v>1511</v>
      </c>
      <c r="D4" s="10">
        <f>SUM(D5:D9)</f>
        <v>1511</v>
      </c>
      <c r="E4" s="10">
        <f>SUM(E5:E9)</f>
        <v>1211</v>
      </c>
      <c r="F4" s="11">
        <v>875.5113636363636</v>
      </c>
      <c r="I4" t="s">
        <v>3</v>
      </c>
      <c r="K4" s="12"/>
      <c r="L4" s="12"/>
      <c r="M4" s="12"/>
      <c r="N4" s="12"/>
      <c r="O4" s="12"/>
    </row>
    <row r="5" spans="1:15" ht="12.75">
      <c r="A5" t="s">
        <v>20</v>
      </c>
      <c r="C5" s="13">
        <v>180</v>
      </c>
      <c r="D5" s="13">
        <v>180</v>
      </c>
      <c r="E5" s="13">
        <v>180</v>
      </c>
      <c r="F5" s="14">
        <f>E5/1.1</f>
        <v>163.63636363636363</v>
      </c>
      <c r="I5" t="s">
        <v>4</v>
      </c>
      <c r="J5" s="12">
        <v>1600</v>
      </c>
      <c r="K5" s="12">
        <v>300</v>
      </c>
      <c r="L5" s="12">
        <v>800</v>
      </c>
      <c r="M5" s="12">
        <v>300</v>
      </c>
      <c r="N5" s="12">
        <v>200</v>
      </c>
      <c r="O5" s="12">
        <v>0</v>
      </c>
    </row>
    <row r="6" spans="1:15" ht="12.75">
      <c r="A6" t="s">
        <v>21</v>
      </c>
      <c r="C6" s="13">
        <v>851</v>
      </c>
      <c r="D6" s="13">
        <v>851</v>
      </c>
      <c r="E6" s="13">
        <v>851</v>
      </c>
      <c r="F6" s="14">
        <f>E6/1.6</f>
        <v>531.875</v>
      </c>
      <c r="I6" t="s">
        <v>5</v>
      </c>
      <c r="J6" s="12">
        <v>3050</v>
      </c>
      <c r="K6" s="12">
        <v>800</v>
      </c>
      <c r="L6" s="12">
        <v>1200</v>
      </c>
      <c r="M6" s="12">
        <v>800</v>
      </c>
      <c r="N6" s="12">
        <v>150</v>
      </c>
      <c r="O6" s="12">
        <v>100</v>
      </c>
    </row>
    <row r="7" spans="1:15" ht="12.75">
      <c r="A7" t="s">
        <v>22</v>
      </c>
      <c r="C7" s="13">
        <v>180</v>
      </c>
      <c r="D7" s="13">
        <v>180</v>
      </c>
      <c r="E7" s="13">
        <v>180</v>
      </c>
      <c r="F7" s="14">
        <v>180</v>
      </c>
      <c r="I7" t="s">
        <v>6</v>
      </c>
      <c r="J7" s="12">
        <v>1700</v>
      </c>
      <c r="K7" s="12">
        <v>400</v>
      </c>
      <c r="L7" s="12">
        <v>500</v>
      </c>
      <c r="M7" s="12">
        <v>400</v>
      </c>
      <c r="N7" s="12">
        <v>250</v>
      </c>
      <c r="O7" s="12">
        <v>150</v>
      </c>
    </row>
    <row r="8" spans="1:15" ht="12.75">
      <c r="A8" t="s">
        <v>23</v>
      </c>
      <c r="C8" s="13">
        <v>108</v>
      </c>
      <c r="D8" s="13">
        <v>108</v>
      </c>
      <c r="E8" s="15">
        <v>0</v>
      </c>
      <c r="F8" s="14">
        <v>0</v>
      </c>
      <c r="I8" t="s">
        <v>7</v>
      </c>
      <c r="J8" s="12">
        <v>650</v>
      </c>
      <c r="K8" s="12">
        <v>300</v>
      </c>
      <c r="L8" s="12">
        <v>100</v>
      </c>
      <c r="M8" s="12">
        <v>100</v>
      </c>
      <c r="N8" s="12">
        <v>100</v>
      </c>
      <c r="O8" s="12">
        <v>50</v>
      </c>
    </row>
    <row r="9" spans="1:15" ht="12.75">
      <c r="A9" t="s">
        <v>24</v>
      </c>
      <c r="C9" s="13">
        <v>192</v>
      </c>
      <c r="D9" s="13">
        <v>192</v>
      </c>
      <c r="E9" s="15">
        <v>0</v>
      </c>
      <c r="F9" s="14">
        <v>0</v>
      </c>
      <c r="I9" t="s">
        <v>8</v>
      </c>
      <c r="K9" s="12"/>
      <c r="L9" s="12"/>
      <c r="M9" s="12"/>
      <c r="N9" s="12"/>
      <c r="O9" s="12"/>
    </row>
    <row r="10" spans="1:15" ht="12.75">
      <c r="A10" t="s">
        <v>25</v>
      </c>
      <c r="C10" s="13">
        <v>30</v>
      </c>
      <c r="D10" s="13">
        <v>30</v>
      </c>
      <c r="E10" s="15">
        <v>0</v>
      </c>
      <c r="F10" s="14">
        <v>0</v>
      </c>
      <c r="I10" t="s">
        <v>9</v>
      </c>
      <c r="J10" s="12">
        <v>2700</v>
      </c>
      <c r="K10" s="12">
        <v>540</v>
      </c>
      <c r="L10" s="12">
        <v>540</v>
      </c>
      <c r="M10" s="12">
        <v>540</v>
      </c>
      <c r="N10" s="12">
        <v>540</v>
      </c>
      <c r="O10" s="12">
        <v>540</v>
      </c>
    </row>
    <row r="11" spans="1:15" ht="12.75">
      <c r="A11" s="3" t="s">
        <v>26</v>
      </c>
      <c r="B11" s="3"/>
      <c r="C11" s="16">
        <f>SUM(C12:C13)</f>
        <v>700</v>
      </c>
      <c r="D11" s="16">
        <f>SUM(D12:D13)</f>
        <v>636.3636363636363</v>
      </c>
      <c r="E11" s="16">
        <f>SUM(E12:E13)</f>
        <v>636.3636363636363</v>
      </c>
      <c r="F11" s="17">
        <v>636.3636363636363</v>
      </c>
      <c r="I11" t="s">
        <v>10</v>
      </c>
      <c r="J11" s="12">
        <v>1100</v>
      </c>
      <c r="K11" s="12">
        <v>220</v>
      </c>
      <c r="L11" s="12">
        <v>220</v>
      </c>
      <c r="M11" s="12">
        <v>220</v>
      </c>
      <c r="N11" s="12">
        <v>220</v>
      </c>
      <c r="O11" s="12">
        <v>220</v>
      </c>
    </row>
    <row r="12" spans="1:15" ht="12.75">
      <c r="A12" t="s">
        <v>27</v>
      </c>
      <c r="C12" s="13">
        <v>400</v>
      </c>
      <c r="D12" s="15">
        <f>C12/1.1</f>
        <v>363.6363636363636</v>
      </c>
      <c r="E12" s="15">
        <f>C12/1.1</f>
        <v>363.6363636363636</v>
      </c>
      <c r="F12" s="14">
        <v>363.6363636363636</v>
      </c>
      <c r="I12" t="s">
        <v>11</v>
      </c>
      <c r="K12" s="12"/>
      <c r="L12" s="12"/>
      <c r="M12" s="12"/>
      <c r="N12" s="12"/>
      <c r="O12" s="12"/>
    </row>
    <row r="13" spans="1:15" ht="13.5" thickBot="1">
      <c r="A13" t="s">
        <v>28</v>
      </c>
      <c r="C13" s="13">
        <v>300</v>
      </c>
      <c r="D13" s="15">
        <f>C13/1.1</f>
        <v>272.7272727272727</v>
      </c>
      <c r="E13" s="15">
        <f>C13/1.1</f>
        <v>272.7272727272727</v>
      </c>
      <c r="F13" s="14">
        <v>272.7272727272727</v>
      </c>
      <c r="I13" t="s">
        <v>4</v>
      </c>
      <c r="J13" s="12">
        <v>2500</v>
      </c>
      <c r="K13" s="12">
        <v>500</v>
      </c>
      <c r="L13" s="12">
        <v>1500</v>
      </c>
      <c r="M13" s="12">
        <v>500</v>
      </c>
      <c r="N13" s="12">
        <v>0</v>
      </c>
      <c r="O13" s="12">
        <v>0</v>
      </c>
    </row>
    <row r="14" spans="3:15" ht="13.5" thickBot="1">
      <c r="C14" s="16">
        <f>C4+C11</f>
        <v>2211</v>
      </c>
      <c r="D14" s="16">
        <f>D4+D11</f>
        <v>2147.363636363636</v>
      </c>
      <c r="E14" s="16">
        <f>E4+E11</f>
        <v>1847.3636363636363</v>
      </c>
      <c r="F14" s="18">
        <v>1511.875</v>
      </c>
      <c r="I14" t="s">
        <v>5</v>
      </c>
      <c r="J14" s="12">
        <v>2500</v>
      </c>
      <c r="K14" s="12">
        <v>800</v>
      </c>
      <c r="L14" s="12">
        <v>1200</v>
      </c>
      <c r="M14" s="12">
        <v>500</v>
      </c>
      <c r="N14" s="12">
        <v>0</v>
      </c>
      <c r="O14" s="12">
        <v>0</v>
      </c>
    </row>
    <row r="15" spans="9:15" ht="12.75">
      <c r="I15" t="s">
        <v>12</v>
      </c>
      <c r="J15" s="12">
        <v>2000</v>
      </c>
      <c r="K15" s="12">
        <v>400</v>
      </c>
      <c r="L15" s="12">
        <v>600</v>
      </c>
      <c r="M15" s="12">
        <v>500</v>
      </c>
      <c r="N15" s="12">
        <v>250</v>
      </c>
      <c r="O15" s="12">
        <v>250</v>
      </c>
    </row>
    <row r="16" spans="9:15" ht="12.75">
      <c r="I16" t="s">
        <v>13</v>
      </c>
      <c r="J16" s="12">
        <v>2000</v>
      </c>
      <c r="K16" s="12">
        <v>500</v>
      </c>
      <c r="L16" s="12">
        <v>500</v>
      </c>
      <c r="M16" s="12">
        <v>500</v>
      </c>
      <c r="N16" s="12">
        <v>500</v>
      </c>
      <c r="O16" s="12">
        <v>0</v>
      </c>
    </row>
    <row r="17" spans="10:15" ht="12.75">
      <c r="J17" s="12"/>
      <c r="K17" s="12"/>
      <c r="L17" s="12"/>
      <c r="M17" s="12"/>
      <c r="N17" s="12"/>
      <c r="O17" s="12"/>
    </row>
    <row r="18" spans="9:15" ht="12.75">
      <c r="I18" t="s">
        <v>14</v>
      </c>
      <c r="J18" s="12">
        <v>1900</v>
      </c>
      <c r="K18" s="12">
        <v>950</v>
      </c>
      <c r="L18" s="12">
        <v>950</v>
      </c>
      <c r="M18" s="12"/>
      <c r="N18" s="12"/>
      <c r="O18" s="12"/>
    </row>
    <row r="19" spans="1:15" ht="12.75">
      <c r="A19" t="s">
        <v>29</v>
      </c>
      <c r="B19" t="s">
        <v>30</v>
      </c>
      <c r="C19" s="7" t="s">
        <v>31</v>
      </c>
      <c r="D19" s="7" t="s">
        <v>32</v>
      </c>
      <c r="E19" s="7" t="s">
        <v>33</v>
      </c>
      <c r="F19" s="7" t="s">
        <v>34</v>
      </c>
      <c r="G19" s="7" t="s">
        <v>35</v>
      </c>
      <c r="H19" s="7" t="s">
        <v>36</v>
      </c>
      <c r="J19" s="12"/>
      <c r="K19" s="12"/>
      <c r="L19" s="12"/>
      <c r="M19" s="12"/>
      <c r="N19" s="12"/>
      <c r="O19" s="12"/>
    </row>
    <row r="20" spans="1:15" ht="12.75">
      <c r="A20" t="s">
        <v>37</v>
      </c>
      <c r="C20">
        <v>300</v>
      </c>
      <c r="D20">
        <v>300</v>
      </c>
      <c r="J20" s="12">
        <f aca="true" t="shared" si="0" ref="J20:O20">SUM(J5:J18)</f>
        <v>21700</v>
      </c>
      <c r="K20" s="12">
        <f t="shared" si="0"/>
        <v>5710</v>
      </c>
      <c r="L20" s="12">
        <f t="shared" si="0"/>
        <v>8110</v>
      </c>
      <c r="M20" s="12">
        <f t="shared" si="0"/>
        <v>4360</v>
      </c>
      <c r="N20" s="12">
        <f t="shared" si="0"/>
        <v>2210</v>
      </c>
      <c r="O20" s="12">
        <f t="shared" si="0"/>
        <v>1310</v>
      </c>
    </row>
    <row r="21" spans="1:5" ht="12.75">
      <c r="A21" t="s">
        <v>38</v>
      </c>
      <c r="D21">
        <v>400</v>
      </c>
      <c r="E21">
        <v>400</v>
      </c>
    </row>
    <row r="22" spans="1:6" ht="12.75">
      <c r="A22" t="s">
        <v>39</v>
      </c>
      <c r="E22">
        <v>500</v>
      </c>
      <c r="F22">
        <v>500</v>
      </c>
    </row>
    <row r="23" spans="1:7" ht="12.75">
      <c r="A23" t="s">
        <v>40</v>
      </c>
      <c r="F23">
        <v>600</v>
      </c>
      <c r="G23">
        <v>600</v>
      </c>
    </row>
    <row r="24" spans="1:7" ht="12.75">
      <c r="A24" t="s">
        <v>41</v>
      </c>
      <c r="G24">
        <v>800</v>
      </c>
    </row>
    <row r="25" spans="3:7" ht="12.75">
      <c r="C25">
        <f>SUM(C20:C24)</f>
        <v>300</v>
      </c>
      <c r="D25">
        <f>SUM(D20:D24)</f>
        <v>700</v>
      </c>
      <c r="E25">
        <f>SUM(E20:E24)</f>
        <v>900</v>
      </c>
      <c r="F25">
        <f>SUM(F20:F24)</f>
        <v>1100</v>
      </c>
      <c r="G25">
        <f>SUM(G20:G24)</f>
        <v>1400</v>
      </c>
    </row>
    <row r="26" ht="12.75">
      <c r="A26" t="s">
        <v>42</v>
      </c>
    </row>
    <row r="27" spans="1:2" ht="12.75">
      <c r="A27" s="19">
        <v>0.875</v>
      </c>
      <c r="B27" s="20" t="s">
        <v>43</v>
      </c>
    </row>
    <row r="28" spans="1:2" ht="12.75">
      <c r="A28" s="19">
        <f>A27/1.2</f>
        <v>0.7291666666666667</v>
      </c>
      <c r="B28" s="20" t="s">
        <v>44</v>
      </c>
    </row>
    <row r="29" ht="12.75">
      <c r="A29" t="s">
        <v>45</v>
      </c>
    </row>
    <row r="30" spans="1:7" ht="12.75">
      <c r="A30" s="21"/>
      <c r="B30" s="21"/>
      <c r="C30" s="22">
        <f>C$25*$A27</f>
        <v>262.5</v>
      </c>
      <c r="D30" s="22">
        <f>D$25*$A27</f>
        <v>612.5</v>
      </c>
      <c r="E30" s="22">
        <f>E$25*$A27</f>
        <v>787.5</v>
      </c>
      <c r="F30" s="22">
        <f>F$25*$A27</f>
        <v>962.5</v>
      </c>
      <c r="G30" s="22">
        <f>G$25*$A27</f>
        <v>1225</v>
      </c>
    </row>
    <row r="31" spans="1:7" ht="12.75">
      <c r="A31" t="s">
        <v>46</v>
      </c>
      <c r="C31" s="22">
        <f>C30</f>
        <v>262.5</v>
      </c>
      <c r="D31" s="22">
        <f>SUM(C30:D30)</f>
        <v>875</v>
      </c>
      <c r="E31" s="22">
        <f>SUM(C30:E30)</f>
        <v>1662.5</v>
      </c>
      <c r="F31" s="22">
        <f>SUM(C30:F30)</f>
        <v>2625</v>
      </c>
      <c r="G31" s="22">
        <f>SUM(C30:G30)</f>
        <v>3850</v>
      </c>
    </row>
    <row r="32" spans="3:7" ht="12.75">
      <c r="C32" s="22">
        <f>C$25*$A27</f>
        <v>262.5</v>
      </c>
      <c r="D32" s="22">
        <f>D$25*$A27</f>
        <v>612.5</v>
      </c>
      <c r="E32" s="22">
        <f>E$25*$A28</f>
        <v>656.2500000000001</v>
      </c>
      <c r="F32" s="22">
        <f>F$25*$A28</f>
        <v>802.0833333333334</v>
      </c>
      <c r="G32" s="22">
        <f>G$25*$A28</f>
        <v>1020.8333333333335</v>
      </c>
    </row>
    <row r="33" spans="3:7" ht="12.75">
      <c r="C33" s="22">
        <f>C32</f>
        <v>262.5</v>
      </c>
      <c r="D33" s="22">
        <f>SUM(C32:D32)</f>
        <v>875</v>
      </c>
      <c r="E33" s="22">
        <f>SUM(C32:E32)</f>
        <v>1531.25</v>
      </c>
      <c r="F33" s="22">
        <f>SUM(C32:F32)</f>
        <v>2333.3333333333335</v>
      </c>
      <c r="G33" s="22">
        <f>SUM(C32:G32)</f>
        <v>3354.166666666667</v>
      </c>
    </row>
    <row r="34" spans="3:7" ht="12.75">
      <c r="C34" s="22"/>
      <c r="D34" s="22"/>
      <c r="E34" s="22"/>
      <c r="F34" s="22"/>
      <c r="G34" s="22"/>
    </row>
    <row r="35" ht="12.75">
      <c r="A35" t="s">
        <v>42</v>
      </c>
    </row>
    <row r="36" ht="12.75">
      <c r="A36">
        <v>1.21</v>
      </c>
    </row>
    <row r="37" ht="12.75">
      <c r="A37" t="s">
        <v>45</v>
      </c>
    </row>
    <row r="38" spans="1:7" ht="12.75">
      <c r="A38" s="20">
        <f>A36/1.03</f>
        <v>1.174757281553398</v>
      </c>
      <c r="B38" s="20"/>
      <c r="C38">
        <f>C$25*$A36</f>
        <v>363</v>
      </c>
      <c r="D38">
        <f>D$25*$A36</f>
        <v>847</v>
      </c>
      <c r="E38" s="23">
        <f>E$25*$A38</f>
        <v>1057.2815533980581</v>
      </c>
      <c r="F38" s="23">
        <f>F$25*$A38</f>
        <v>1292.2330097087379</v>
      </c>
      <c r="G38" s="23">
        <f>G$25*$A38</f>
        <v>1644.6601941747572</v>
      </c>
    </row>
    <row r="39" spans="1:7" ht="12.75">
      <c r="A39" t="s">
        <v>46</v>
      </c>
      <c r="C39">
        <f>C38</f>
        <v>363</v>
      </c>
      <c r="D39">
        <f>SUM(C38:D38)</f>
        <v>1210</v>
      </c>
      <c r="E39" s="23">
        <f>SUM(C38:E38)</f>
        <v>2267.2815533980583</v>
      </c>
      <c r="F39" s="23">
        <f>SUM(C38:F38)</f>
        <v>3559.5145631067962</v>
      </c>
      <c r="G39" s="23">
        <f>SUM(C38:G38)</f>
        <v>5204.174757281553</v>
      </c>
    </row>
  </sheetData>
  <sheetProtection/>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E35"/>
  <sheetViews>
    <sheetView showGridLines="0" tabSelected="1" zoomScalePageLayoutView="0" workbookViewId="0" topLeftCell="A1">
      <selection activeCell="A1" sqref="A1"/>
    </sheetView>
  </sheetViews>
  <sheetFormatPr defaultColWidth="9.140625" defaultRowHeight="12.75"/>
  <cols>
    <col min="1" max="1" width="9.140625" style="335" customWidth="1"/>
    <col min="2" max="5" width="36.7109375" style="335" customWidth="1"/>
    <col min="6" max="16384" width="9.140625" style="335" customWidth="1"/>
  </cols>
  <sheetData>
    <row r="1" spans="3:5" ht="12.75">
      <c r="C1" s="274"/>
      <c r="D1" s="274"/>
      <c r="E1" s="275"/>
    </row>
    <row r="2" spans="3:4" ht="20.25" customHeight="1">
      <c r="C2" s="519" t="s">
        <v>306</v>
      </c>
      <c r="D2" s="518"/>
    </row>
    <row r="3" spans="3:4" ht="12.75">
      <c r="C3" s="519"/>
      <c r="D3" s="518"/>
    </row>
    <row r="4" spans="3:4" ht="12.75">
      <c r="C4" s="519"/>
      <c r="D4" s="518"/>
    </row>
    <row r="5" spans="3:4" ht="12.75">
      <c r="C5" s="519"/>
      <c r="D5" s="518"/>
    </row>
    <row r="6" spans="3:4" ht="12.75">
      <c r="C6" s="519"/>
      <c r="D6" s="518"/>
    </row>
    <row r="7" ht="12.75"/>
    <row r="8" ht="13.5" thickBot="1"/>
    <row r="9" spans="2:5" s="311" customFormat="1" ht="18" customHeight="1" thickTop="1">
      <c r="B9" s="318" t="s">
        <v>457</v>
      </c>
      <c r="C9" s="325" t="s">
        <v>438</v>
      </c>
      <c r="D9" s="325" t="s">
        <v>439</v>
      </c>
      <c r="E9" s="317" t="s">
        <v>456</v>
      </c>
    </row>
    <row r="10" spans="2:5" s="311" customFormat="1" ht="18" customHeight="1">
      <c r="B10" s="319" t="s">
        <v>458</v>
      </c>
      <c r="C10" s="321">
        <v>38960</v>
      </c>
      <c r="D10" s="321">
        <v>40256</v>
      </c>
      <c r="E10" s="312">
        <v>41123</v>
      </c>
    </row>
    <row r="11" spans="2:5" s="311" customFormat="1" ht="24" customHeight="1" thickBot="1">
      <c r="B11" s="319" t="s">
        <v>282</v>
      </c>
      <c r="C11" s="322" t="s">
        <v>283</v>
      </c>
      <c r="D11" s="322" t="s">
        <v>283</v>
      </c>
      <c r="E11" s="336" t="s">
        <v>446</v>
      </c>
    </row>
    <row r="12" spans="1:5" s="343" customFormat="1" ht="180" thickBot="1" thickTop="1">
      <c r="A12" s="311"/>
      <c r="B12" s="320" t="s">
        <v>459</v>
      </c>
      <c r="C12" s="323" t="s">
        <v>460</v>
      </c>
      <c r="D12" s="323" t="s">
        <v>460</v>
      </c>
      <c r="E12" s="344" t="s">
        <v>460</v>
      </c>
    </row>
    <row r="13" spans="1:5" s="145" customFormat="1" ht="12.75" customHeight="1" thickTop="1">
      <c r="A13" s="311"/>
      <c r="B13" s="533" t="s">
        <v>284</v>
      </c>
      <c r="C13" s="530" t="s">
        <v>286</v>
      </c>
      <c r="D13" s="530" t="s">
        <v>286</v>
      </c>
      <c r="E13" s="525" t="s">
        <v>464</v>
      </c>
    </row>
    <row r="14" spans="2:5" s="145" customFormat="1" ht="12.75" customHeight="1">
      <c r="B14" s="534"/>
      <c r="C14" s="531"/>
      <c r="D14" s="531"/>
      <c r="E14" s="526"/>
    </row>
    <row r="15" spans="2:5" s="145" customFormat="1" ht="20.25" customHeight="1">
      <c r="B15" s="534"/>
      <c r="C15" s="531"/>
      <c r="D15" s="531"/>
      <c r="E15" s="526"/>
    </row>
    <row r="16" spans="2:5" s="145" customFormat="1" ht="12.75">
      <c r="B16" s="535"/>
      <c r="C16" s="532"/>
      <c r="D16" s="532"/>
      <c r="E16" s="527"/>
    </row>
    <row r="17" spans="2:5" s="145" customFormat="1" ht="25.5">
      <c r="B17" s="319" t="s">
        <v>461</v>
      </c>
      <c r="C17" s="324" t="s">
        <v>287</v>
      </c>
      <c r="D17" s="324" t="s">
        <v>287</v>
      </c>
      <c r="E17" s="313" t="s">
        <v>287</v>
      </c>
    </row>
    <row r="18" spans="2:5" s="145" customFormat="1" ht="18" customHeight="1" thickBot="1">
      <c r="B18" s="326" t="s">
        <v>462</v>
      </c>
      <c r="C18" s="340" t="s">
        <v>445</v>
      </c>
      <c r="D18" s="340" t="s">
        <v>518</v>
      </c>
      <c r="E18" s="341" t="s">
        <v>455</v>
      </c>
    </row>
    <row r="19" spans="2:5" s="337" customFormat="1" ht="18" customHeight="1" thickTop="1">
      <c r="B19" s="338"/>
      <c r="C19" s="314"/>
      <c r="D19" s="314"/>
      <c r="E19" s="314"/>
    </row>
    <row r="20" spans="1:4" s="339" customFormat="1" ht="12.75" customHeight="1">
      <c r="A20" s="329"/>
      <c r="B20" s="342" t="s">
        <v>463</v>
      </c>
      <c r="C20" s="330"/>
      <c r="D20" s="330"/>
    </row>
    <row r="21" spans="1:4" s="339" customFormat="1" ht="12.75" customHeight="1">
      <c r="A21" s="329"/>
      <c r="B21" s="342"/>
      <c r="C21" s="330"/>
      <c r="D21" s="330"/>
    </row>
    <row r="22" spans="1:4" s="339" customFormat="1" ht="12.75">
      <c r="A22" s="329"/>
      <c r="B22" s="328" t="s">
        <v>308</v>
      </c>
      <c r="C22" s="328"/>
      <c r="D22" s="328"/>
    </row>
    <row r="23" spans="1:5" s="339" customFormat="1" ht="12.75">
      <c r="A23" s="329"/>
      <c r="B23" s="528" t="s">
        <v>440</v>
      </c>
      <c r="C23" s="529"/>
      <c r="D23" s="529"/>
      <c r="E23" s="529"/>
    </row>
    <row r="24" spans="1:4" s="339" customFormat="1" ht="12.75">
      <c r="A24" s="329"/>
      <c r="B24" s="330"/>
      <c r="C24" s="330"/>
      <c r="D24" s="330"/>
    </row>
    <row r="25" spans="1:4" s="331" customFormat="1" ht="12.75">
      <c r="A25" s="329"/>
      <c r="B25" s="327" t="s">
        <v>288</v>
      </c>
      <c r="C25" s="327"/>
      <c r="D25" s="327"/>
    </row>
    <row r="26" spans="1:5" s="331" customFormat="1" ht="26.25" customHeight="1">
      <c r="A26" s="329"/>
      <c r="B26" s="520" t="s">
        <v>441</v>
      </c>
      <c r="C26" s="521"/>
      <c r="D26" s="521"/>
      <c r="E26" s="521"/>
    </row>
    <row r="27" s="331" customFormat="1" ht="12.75">
      <c r="A27" s="329"/>
    </row>
    <row r="28" spans="1:4" s="331" customFormat="1" ht="12.75">
      <c r="A28" s="329"/>
      <c r="B28" s="332" t="s">
        <v>442</v>
      </c>
      <c r="C28" s="332"/>
      <c r="D28" s="332"/>
    </row>
    <row r="29" spans="1:5" s="331" customFormat="1" ht="27" customHeight="1">
      <c r="A29" s="329"/>
      <c r="B29" s="522" t="s">
        <v>443</v>
      </c>
      <c r="C29" s="521"/>
      <c r="D29" s="521"/>
      <c r="E29" s="521"/>
    </row>
    <row r="30" spans="1:4" s="331" customFormat="1" ht="12.75">
      <c r="A30" s="329"/>
      <c r="B30" s="333"/>
      <c r="C30" s="333"/>
      <c r="D30" s="333"/>
    </row>
    <row r="31" spans="1:4" s="331" customFormat="1" ht="12.75">
      <c r="A31" s="329"/>
      <c r="B31" s="334" t="s">
        <v>465</v>
      </c>
      <c r="C31" s="334"/>
      <c r="D31" s="334"/>
    </row>
    <row r="32" spans="1:5" s="331" customFormat="1" ht="12.75">
      <c r="A32" s="329"/>
      <c r="B32" s="523" t="s">
        <v>444</v>
      </c>
      <c r="C32" s="523"/>
      <c r="D32" s="523"/>
      <c r="E32" s="523"/>
    </row>
    <row r="33" spans="1:4" s="331" customFormat="1" ht="12.75">
      <c r="A33" s="329"/>
      <c r="B33" s="333"/>
      <c r="C33" s="333"/>
      <c r="D33" s="333"/>
    </row>
    <row r="34" ht="12.75">
      <c r="B34" s="334" t="s">
        <v>486</v>
      </c>
    </row>
    <row r="35" spans="2:5" ht="12.75">
      <c r="B35" s="524" t="s">
        <v>507</v>
      </c>
      <c r="C35" s="524"/>
      <c r="D35" s="524"/>
      <c r="E35" s="524"/>
    </row>
  </sheetData>
  <sheetProtection/>
  <mergeCells count="10">
    <mergeCell ref="C2:D6"/>
    <mergeCell ref="B26:E26"/>
    <mergeCell ref="B29:E29"/>
    <mergeCell ref="B32:E32"/>
    <mergeCell ref="B35:E35"/>
    <mergeCell ref="E13:E16"/>
    <mergeCell ref="B23:E23"/>
    <mergeCell ref="C13:C16"/>
    <mergeCell ref="D13:D16"/>
    <mergeCell ref="B13:B16"/>
  </mergeCells>
  <hyperlinks>
    <hyperlink ref="B22" location="'Activity Description'!A1" display="Activity Description"/>
    <hyperlink ref="B31" location="'Key Assumptions'!A1" display="Key Assumptions "/>
    <hyperlink ref="B28" location="'Cost Benefit Summary'!A1" display="Cost Benefit Summary"/>
    <hyperlink ref="B25" location="'ERR &amp; Sensitivity Analysis'!A1" display="ERR &amp; Sensitivity Analysis"/>
    <hyperlink ref="B31:D31" location="'Key Assumptions'!A1" display="Key Assumptions"/>
    <hyperlink ref="B34" location="'Poverty Scorecard'!A1" display="Poverty Scorecard"/>
  </hyperlinks>
  <printOptions/>
  <pageMargins left="0.75" right="0.75" top="1" bottom="1" header="0.5" footer="0.5"/>
  <pageSetup fitToHeight="1" fitToWidth="1" horizontalDpi="600" verticalDpi="600" orientation="landscape" scale="79" r:id="rId2"/>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2:C28"/>
  <sheetViews>
    <sheetView showGridLines="0" zoomScalePageLayoutView="0" workbookViewId="0" topLeftCell="A1">
      <selection activeCell="A1" sqref="A1"/>
    </sheetView>
  </sheetViews>
  <sheetFormatPr defaultColWidth="9.140625" defaultRowHeight="12.75"/>
  <cols>
    <col min="1" max="1" width="7.7109375" style="51" customWidth="1"/>
    <col min="2" max="2" width="106.421875" style="51" customWidth="1"/>
    <col min="3" max="16384" width="9.140625" style="51" customWidth="1"/>
  </cols>
  <sheetData>
    <row r="2" ht="20.25">
      <c r="B2" s="135" t="s">
        <v>307</v>
      </c>
    </row>
    <row r="4" ht="18">
      <c r="B4" s="136" t="s">
        <v>308</v>
      </c>
    </row>
    <row r="5" ht="12.75" customHeight="1">
      <c r="A5" s="136"/>
    </row>
    <row r="6" spans="1:2" ht="12.75" customHeight="1">
      <c r="A6" s="136"/>
      <c r="B6" s="139" t="s">
        <v>289</v>
      </c>
    </row>
    <row r="7" ht="6.75" customHeight="1">
      <c r="B7" s="315"/>
    </row>
    <row r="8" ht="17.25" customHeight="1">
      <c r="B8" s="139" t="s">
        <v>438</v>
      </c>
    </row>
    <row r="9" ht="9.75" customHeight="1">
      <c r="B9" s="315"/>
    </row>
    <row r="10" spans="1:2" ht="54" customHeight="1">
      <c r="A10" s="137"/>
      <c r="B10" s="138" t="s">
        <v>303</v>
      </c>
    </row>
    <row r="11" spans="1:2" ht="12.75" customHeight="1">
      <c r="A11" s="137"/>
      <c r="B11" s="138"/>
    </row>
    <row r="12" spans="1:2" ht="12.75" customHeight="1">
      <c r="A12" s="137"/>
      <c r="B12" s="140" t="s">
        <v>456</v>
      </c>
    </row>
    <row r="13" spans="1:2" ht="9" customHeight="1">
      <c r="A13" s="137"/>
      <c r="B13" s="140"/>
    </row>
    <row r="14" spans="1:2" ht="31.5" customHeight="1">
      <c r="A14" s="137"/>
      <c r="B14" s="507" t="s">
        <v>519</v>
      </c>
    </row>
    <row r="15" spans="1:2" ht="12.75" customHeight="1">
      <c r="A15" s="137"/>
      <c r="B15" s="138"/>
    </row>
    <row r="16" spans="1:2" ht="12.75">
      <c r="A16" s="137"/>
      <c r="B16" s="140" t="s">
        <v>290</v>
      </c>
    </row>
    <row r="17" spans="1:2" ht="6.75" customHeight="1">
      <c r="A17" s="137"/>
      <c r="B17" s="138"/>
    </row>
    <row r="18" spans="1:2" ht="63.75">
      <c r="A18" s="137"/>
      <c r="B18" s="345" t="s">
        <v>309</v>
      </c>
    </row>
    <row r="19" spans="1:2" ht="12.75">
      <c r="A19" s="137"/>
      <c r="B19" s="345"/>
    </row>
    <row r="20" spans="1:2" ht="12.75">
      <c r="A20" s="137"/>
      <c r="B20" s="141" t="s">
        <v>291</v>
      </c>
    </row>
    <row r="21" spans="1:2" ht="6.75" customHeight="1">
      <c r="A21" s="137"/>
      <c r="B21" s="345"/>
    </row>
    <row r="22" spans="1:2" ht="39" customHeight="1">
      <c r="A22" s="536"/>
      <c r="B22" s="276" t="s">
        <v>311</v>
      </c>
    </row>
    <row r="23" spans="1:2" ht="51.75" customHeight="1">
      <c r="A23" s="536"/>
      <c r="B23" s="276" t="s">
        <v>448</v>
      </c>
    </row>
    <row r="24" ht="12.75">
      <c r="B24" s="315"/>
    </row>
    <row r="25" ht="12.75">
      <c r="B25" s="276" t="s">
        <v>292</v>
      </c>
    </row>
    <row r="26" ht="12.75">
      <c r="B26" s="315"/>
    </row>
    <row r="28" spans="2:3" ht="12.75">
      <c r="B28" s="346" t="s">
        <v>379</v>
      </c>
      <c r="C28" s="347">
        <f>'User''s Guide'!$E$10</f>
        <v>41123</v>
      </c>
    </row>
  </sheetData>
  <sheetProtection/>
  <mergeCells count="1">
    <mergeCell ref="A22:A23"/>
  </mergeCells>
  <printOptions/>
  <pageMargins left="0.45" right="0.75" top="1" bottom="1" header="0.5" footer="0.5"/>
  <pageSetup fitToHeight="1" fitToWidth="1" horizontalDpi="600" verticalDpi="600" orientation="portrait" scale="78" r:id="rId2"/>
  <drawing r:id="rId1"/>
</worksheet>
</file>

<file path=xl/worksheets/sheet6.xml><?xml version="1.0" encoding="utf-8"?>
<worksheet xmlns="http://schemas.openxmlformats.org/spreadsheetml/2006/main" xmlns:r="http://schemas.openxmlformats.org/officeDocument/2006/relationships">
  <sheetPr codeName="Sheet8"/>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B2:I76"/>
  <sheetViews>
    <sheetView showGridLines="0" zoomScalePageLayoutView="0" workbookViewId="0" topLeftCell="A1">
      <selection activeCell="A1" sqref="A1"/>
    </sheetView>
  </sheetViews>
  <sheetFormatPr defaultColWidth="9.140625" defaultRowHeight="12.75"/>
  <cols>
    <col min="1" max="1" width="5.7109375" style="90" customWidth="1"/>
    <col min="2" max="2" width="18.140625" style="90" customWidth="1"/>
    <col min="3" max="3" width="63.00390625" style="90" customWidth="1"/>
    <col min="4" max="6" width="15.7109375" style="90" customWidth="1"/>
    <col min="7" max="7" width="16.140625" style="90" customWidth="1"/>
    <col min="8" max="8" width="5.7109375" style="90" customWidth="1"/>
    <col min="9" max="9" width="20.140625" style="90" customWidth="1"/>
    <col min="10" max="16384" width="9.140625" style="90" customWidth="1"/>
  </cols>
  <sheetData>
    <row r="1" ht="12.75"/>
    <row r="2" spans="2:4" ht="23.25">
      <c r="B2" s="88" t="s">
        <v>306</v>
      </c>
      <c r="D2" s="89"/>
    </row>
    <row r="3" spans="6:7" ht="12.75">
      <c r="F3" s="346" t="s">
        <v>379</v>
      </c>
      <c r="G3" s="347">
        <f>'User''s Guide'!$E$10</f>
        <v>41123</v>
      </c>
    </row>
    <row r="4" ht="18">
      <c r="B4" s="91" t="s">
        <v>276</v>
      </c>
    </row>
    <row r="6" spans="2:7" ht="37.5" customHeight="1">
      <c r="B6" s="537" t="s">
        <v>302</v>
      </c>
      <c r="C6" s="537"/>
      <c r="D6" s="537"/>
      <c r="E6" s="537"/>
      <c r="F6" s="537"/>
      <c r="G6" s="537"/>
    </row>
    <row r="8" spans="2:7" ht="15.75">
      <c r="B8" s="538" t="s">
        <v>305</v>
      </c>
      <c r="C8" s="538" t="s">
        <v>277</v>
      </c>
      <c r="D8" s="542" t="s">
        <v>278</v>
      </c>
      <c r="E8" s="543"/>
      <c r="F8" s="543"/>
      <c r="G8" s="544"/>
    </row>
    <row r="9" spans="2:9" ht="39" thickBot="1">
      <c r="B9" s="539"/>
      <c r="C9" s="539"/>
      <c r="D9" s="131" t="s">
        <v>293</v>
      </c>
      <c r="E9" s="115" t="s">
        <v>298</v>
      </c>
      <c r="F9" s="116" t="s">
        <v>310</v>
      </c>
      <c r="G9" s="115" t="s">
        <v>279</v>
      </c>
      <c r="I9" s="124" t="s">
        <v>299</v>
      </c>
    </row>
    <row r="10" spans="2:9" ht="33" customHeight="1">
      <c r="B10" s="113" t="s">
        <v>289</v>
      </c>
      <c r="C10" s="114" t="s">
        <v>295</v>
      </c>
      <c r="D10" s="129">
        <v>1</v>
      </c>
      <c r="E10" s="111">
        <v>1</v>
      </c>
      <c r="F10" s="109" t="s">
        <v>297</v>
      </c>
      <c r="G10" s="130">
        <f>D10</f>
        <v>1</v>
      </c>
      <c r="I10" s="350" t="str">
        <f>IF(D10=E10,IF(D11=E11,"Y","N"),"N")</f>
        <v>Y</v>
      </c>
    </row>
    <row r="11" spans="2:9" ht="33" customHeight="1">
      <c r="B11" s="102" t="s">
        <v>289</v>
      </c>
      <c r="C11" s="114" t="s">
        <v>296</v>
      </c>
      <c r="D11" s="129">
        <v>1</v>
      </c>
      <c r="E11" s="111">
        <v>1</v>
      </c>
      <c r="F11" s="109" t="s">
        <v>297</v>
      </c>
      <c r="G11" s="130">
        <f>D11</f>
        <v>1</v>
      </c>
      <c r="I11" s="349" t="str">
        <f>IF(D13=E13,IF(D14=E14,"Y","N"),"N")</f>
        <v>Y</v>
      </c>
    </row>
    <row r="12" spans="2:7" ht="12.75">
      <c r="B12" s="119"/>
      <c r="C12" s="120"/>
      <c r="D12" s="132"/>
      <c r="E12" s="133"/>
      <c r="F12" s="133"/>
      <c r="G12" s="134"/>
    </row>
    <row r="13" spans="2:9" ht="33" customHeight="1">
      <c r="B13" s="113" t="s">
        <v>294</v>
      </c>
      <c r="C13" s="300" t="s">
        <v>430</v>
      </c>
      <c r="D13" s="316">
        <v>0</v>
      </c>
      <c r="E13" s="348">
        <v>0</v>
      </c>
      <c r="F13" s="118" t="s">
        <v>431</v>
      </c>
      <c r="G13" s="393">
        <f>IF($I$10="Y",D13,E13)</f>
        <v>0</v>
      </c>
      <c r="I13" s="142" t="s">
        <v>304</v>
      </c>
    </row>
    <row r="14" spans="2:9" ht="35.25" customHeight="1">
      <c r="B14" s="117" t="s">
        <v>294</v>
      </c>
      <c r="C14" s="112" t="s">
        <v>432</v>
      </c>
      <c r="D14" s="302">
        <v>157.79</v>
      </c>
      <c r="E14" s="303">
        <v>157.79</v>
      </c>
      <c r="F14" s="125" t="s">
        <v>454</v>
      </c>
      <c r="G14" s="353">
        <f>IF($I$10="Y",D14,E14)</f>
        <v>157.79</v>
      </c>
      <c r="I14" s="351" t="s">
        <v>308</v>
      </c>
    </row>
    <row r="15" ht="33" customHeight="1">
      <c r="I15" s="352" t="s">
        <v>466</v>
      </c>
    </row>
    <row r="16" spans="2:4" ht="12.75">
      <c r="B16"/>
      <c r="D16" s="3"/>
    </row>
    <row r="17" spans="2:7" ht="25.5" customHeight="1">
      <c r="B17" s="541">
        <f>IF($I$10="N",IF($I$11="N","Reminder: Please reset all summary parameters to original values before changing specific parameters.  Specific parameters will only be used in ERR computation when all summary parameters are set to initial values",0),0)</f>
        <v>0</v>
      </c>
      <c r="C17" s="541"/>
      <c r="D17" s="541"/>
      <c r="E17" s="541"/>
      <c r="F17" s="541"/>
      <c r="G17" s="541"/>
    </row>
    <row r="18" spans="2:4" ht="12.75">
      <c r="B18"/>
      <c r="D18" s="3"/>
    </row>
    <row r="19" spans="3:5" ht="12.75">
      <c r="C19" s="84" t="s">
        <v>280</v>
      </c>
      <c r="D19" s="143">
        <f>'Cost Benefit Summary'!C56</f>
        <v>0.1210030975800247</v>
      </c>
      <c r="E19" s="92" t="s">
        <v>332</v>
      </c>
    </row>
    <row r="20" spans="3:5" s="121" customFormat="1" ht="12.75">
      <c r="C20" s="122"/>
      <c r="D20" s="290"/>
      <c r="E20" s="123"/>
    </row>
    <row r="21" spans="3:5" s="121" customFormat="1" ht="12.75">
      <c r="C21" s="122"/>
      <c r="D21" s="123"/>
      <c r="E21" s="123"/>
    </row>
    <row r="22" spans="3:7" ht="12.75">
      <c r="C22" s="304" t="s">
        <v>433</v>
      </c>
      <c r="D22" s="305"/>
      <c r="E22" s="306" t="s">
        <v>434</v>
      </c>
      <c r="F22" s="354" t="s">
        <v>435</v>
      </c>
      <c r="G22" s="359" t="s">
        <v>436</v>
      </c>
    </row>
    <row r="23" spans="3:7" ht="12.75">
      <c r="C23" s="304"/>
      <c r="D23" s="307" t="s">
        <v>437</v>
      </c>
      <c r="E23" s="308">
        <v>0.359</v>
      </c>
      <c r="F23" s="355">
        <v>0.177</v>
      </c>
      <c r="G23" s="357">
        <v>0.121</v>
      </c>
    </row>
    <row r="24" spans="3:7" ht="12.75">
      <c r="C24" s="304"/>
      <c r="D24" s="307" t="s">
        <v>467</v>
      </c>
      <c r="E24" s="308" t="s">
        <v>468</v>
      </c>
      <c r="F24" s="355" t="s">
        <v>332</v>
      </c>
      <c r="G24" s="357" t="s">
        <v>332</v>
      </c>
    </row>
    <row r="25" spans="3:7" ht="12.75">
      <c r="C25" s="309"/>
      <c r="D25" s="307" t="s">
        <v>285</v>
      </c>
      <c r="E25" s="310">
        <v>38960</v>
      </c>
      <c r="F25" s="356">
        <v>40987</v>
      </c>
      <c r="G25" s="358">
        <v>41123</v>
      </c>
    </row>
    <row r="26" spans="3:7" ht="12.75">
      <c r="C26" s="309"/>
      <c r="D26" s="360"/>
      <c r="E26" s="361"/>
      <c r="F26" s="362"/>
      <c r="G26" s="363"/>
    </row>
    <row r="27" spans="3:5" s="309" customFormat="1" ht="12.75">
      <c r="C27" s="122" t="s">
        <v>469</v>
      </c>
      <c r="D27" s="364">
        <f>'Cost Benefit Summary'!C50*1000</f>
        <v>4224057.843518501</v>
      </c>
      <c r="E27" s="502" t="s">
        <v>517</v>
      </c>
    </row>
    <row r="28" spans="3:4" s="309" customFormat="1" ht="12.75">
      <c r="C28" s="122"/>
      <c r="D28" s="365"/>
    </row>
    <row r="29" spans="3:5" s="309" customFormat="1" ht="12.75">
      <c r="C29" s="122" t="s">
        <v>470</v>
      </c>
      <c r="D29" s="364">
        <f>'Cost Benefit Summary'!C46*1000</f>
        <v>3075319.6887358814</v>
      </c>
      <c r="E29" s="502" t="s">
        <v>517</v>
      </c>
    </row>
    <row r="31" ht="12.75">
      <c r="F31" s="110"/>
    </row>
    <row r="32" ht="12.75">
      <c r="F32" s="110"/>
    </row>
    <row r="38" ht="12.75">
      <c r="F38" s="92"/>
    </row>
    <row r="39" ht="12.75">
      <c r="F39" s="110"/>
    </row>
    <row r="40" ht="12.75">
      <c r="F40" s="110"/>
    </row>
    <row r="76" spans="3:7" ht="33.75" customHeight="1">
      <c r="C76" s="540"/>
      <c r="D76" s="540"/>
      <c r="E76" s="540"/>
      <c r="F76" s="144"/>
      <c r="G76" s="144"/>
    </row>
  </sheetData>
  <sheetProtection/>
  <mergeCells count="6">
    <mergeCell ref="B6:G6"/>
    <mergeCell ref="B8:B9"/>
    <mergeCell ref="C76:E76"/>
    <mergeCell ref="B17:G17"/>
    <mergeCell ref="C8:C9"/>
    <mergeCell ref="D8:G8"/>
  </mergeCells>
  <conditionalFormatting sqref="B17">
    <cfRule type="cellIs" priority="1" dxfId="1" operator="equal" stopIfTrue="1">
      <formula>0</formula>
    </cfRule>
    <cfRule type="cellIs" priority="2" dxfId="0" operator="notEqual" stopIfTrue="1">
      <formula>0</formula>
    </cfRule>
  </conditionalFormatting>
  <hyperlinks>
    <hyperlink ref="I15" location="'User''s Guide'!A1" display="User's Guide"/>
    <hyperlink ref="I14" location="'Activity Description'!A1" display="Activity Description"/>
  </hyperlinks>
  <printOptions/>
  <pageMargins left="1.65" right="0.75" top="0.52" bottom="0.52" header="0.5" footer="0.5"/>
  <pageSetup fitToHeight="1" fitToWidth="1" horizontalDpi="600" verticalDpi="600" orientation="landscape" scale="47" r:id="rId3"/>
  <drawing r:id="rId2"/>
  <legacyDrawing r:id="rId1"/>
</worksheet>
</file>

<file path=xl/worksheets/sheet8.xml><?xml version="1.0" encoding="utf-8"?>
<worksheet xmlns="http://schemas.openxmlformats.org/spreadsheetml/2006/main" xmlns:r="http://schemas.openxmlformats.org/officeDocument/2006/relationships">
  <sheetPr codeName="Sheet7"/>
  <dimension ref="A2:BV86"/>
  <sheetViews>
    <sheetView showGridLines="0" zoomScaleSheetLayoutView="100" zoomScalePageLayoutView="0" workbookViewId="0" topLeftCell="A1">
      <selection activeCell="A1" sqref="A1"/>
    </sheetView>
  </sheetViews>
  <sheetFormatPr defaultColWidth="11.421875" defaultRowHeight="12" customHeight="1"/>
  <cols>
    <col min="1" max="1" width="7.7109375" style="94" customWidth="1"/>
    <col min="2" max="2" width="51.8515625" style="94" customWidth="1"/>
    <col min="3" max="3" width="10.7109375" style="93" customWidth="1"/>
    <col min="4" max="4" width="10.8515625" style="93" customWidth="1"/>
    <col min="5" max="5" width="7.7109375" style="93" bestFit="1" customWidth="1"/>
    <col min="6" max="6" width="9.28125" style="93" bestFit="1" customWidth="1"/>
    <col min="7" max="7" width="9.7109375" style="93" customWidth="1"/>
    <col min="8" max="8" width="9.57421875" style="93" customWidth="1"/>
    <col min="9" max="10" width="7.57421875" style="93" bestFit="1" customWidth="1"/>
    <col min="11" max="11" width="11.421875" style="93" bestFit="1" customWidth="1"/>
    <col min="12" max="60" width="7.57421875" style="93" bestFit="1" customWidth="1"/>
    <col min="61" max="61" width="11.421875" style="93" customWidth="1"/>
    <col min="62" max="62" width="41.00390625" style="93" customWidth="1"/>
    <col min="63" max="63" width="13.140625" style="93" customWidth="1"/>
    <col min="64" max="64" width="12.421875" style="93" customWidth="1"/>
    <col min="65" max="73" width="11.421875" style="93" customWidth="1"/>
    <col min="74" max="16384" width="11.421875" style="94" customWidth="1"/>
  </cols>
  <sheetData>
    <row r="1" ht="12.75" customHeight="1"/>
    <row r="2" spans="2:14" ht="20.25">
      <c r="B2" s="98" t="s">
        <v>306</v>
      </c>
      <c r="C2" s="2"/>
      <c r="D2" s="2"/>
      <c r="E2" s="2"/>
      <c r="F2" s="2"/>
      <c r="G2" s="2"/>
      <c r="K2" s="346" t="s">
        <v>379</v>
      </c>
      <c r="L2" s="347">
        <f>'User''s Guide'!$E$10</f>
        <v>41123</v>
      </c>
      <c r="M2" s="94"/>
      <c r="N2" s="94"/>
    </row>
    <row r="3" spans="2:16" ht="18" customHeight="1">
      <c r="B3" s="95" t="s">
        <v>281</v>
      </c>
      <c r="D3" s="541">
        <f>IF('ERR &amp; Sensitivity Analysis'!$I$10="N","Note: Current calculations are based on user input and are not the original MCC estimates.",IF('ERR &amp; Sensitivity Analysis'!$I$11="N","Note: Current calculations are based on user input and are not the original MCC estimates.",0))</f>
        <v>0</v>
      </c>
      <c r="E3" s="541"/>
      <c r="F3" s="541"/>
      <c r="G3" s="541"/>
      <c r="H3" s="541"/>
      <c r="I3" s="541"/>
      <c r="J3" s="541"/>
      <c r="K3" s="541"/>
      <c r="L3" s="541"/>
      <c r="M3" s="541"/>
      <c r="N3" s="541"/>
      <c r="O3" s="541"/>
      <c r="P3" s="541"/>
    </row>
    <row r="4" spans="3:73" s="85" customFormat="1" ht="12.75">
      <c r="C4" s="86"/>
      <c r="D4" s="86"/>
      <c r="E4" s="86"/>
      <c r="F4" s="86"/>
      <c r="G4" s="86"/>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row>
    <row r="5" spans="2:60" s="2" customFormat="1" ht="12" customHeight="1">
      <c r="B5" s="396" t="s">
        <v>483</v>
      </c>
      <c r="C5" s="397"/>
      <c r="D5" s="398">
        <v>1</v>
      </c>
      <c r="E5" s="398">
        <v>2</v>
      </c>
      <c r="F5" s="398">
        <v>3</v>
      </c>
      <c r="G5" s="398">
        <v>4</v>
      </c>
      <c r="H5" s="398">
        <v>5</v>
      </c>
      <c r="I5" s="99">
        <v>6</v>
      </c>
      <c r="J5" s="99">
        <v>7</v>
      </c>
      <c r="K5" s="99">
        <v>8</v>
      </c>
      <c r="L5" s="99">
        <v>9</v>
      </c>
      <c r="M5" s="99">
        <v>10</v>
      </c>
      <c r="N5" s="99">
        <v>11</v>
      </c>
      <c r="O5" s="99">
        <v>12</v>
      </c>
      <c r="P5" s="99">
        <v>13</v>
      </c>
      <c r="Q5" s="99">
        <v>14</v>
      </c>
      <c r="R5" s="99">
        <v>15</v>
      </c>
      <c r="S5" s="99">
        <v>16</v>
      </c>
      <c r="T5" s="99">
        <v>17</v>
      </c>
      <c r="U5" s="99">
        <v>18</v>
      </c>
      <c r="V5" s="99">
        <v>19</v>
      </c>
      <c r="W5" s="99">
        <v>20</v>
      </c>
      <c r="X5" s="99">
        <v>21</v>
      </c>
      <c r="Y5" s="99">
        <v>22</v>
      </c>
      <c r="Z5" s="99">
        <v>23</v>
      </c>
      <c r="AA5" s="99">
        <v>24</v>
      </c>
      <c r="AB5" s="99">
        <v>25</v>
      </c>
      <c r="AC5" s="99">
        <v>26</v>
      </c>
      <c r="AD5" s="99">
        <v>27</v>
      </c>
      <c r="AE5" s="99">
        <v>28</v>
      </c>
      <c r="AF5" s="99">
        <v>29</v>
      </c>
      <c r="AG5" s="99">
        <v>30</v>
      </c>
      <c r="AH5" s="99">
        <v>31</v>
      </c>
      <c r="AI5" s="99">
        <v>32</v>
      </c>
      <c r="AJ5" s="99">
        <v>33</v>
      </c>
      <c r="AK5" s="99">
        <v>34</v>
      </c>
      <c r="AL5" s="99">
        <v>35</v>
      </c>
      <c r="AM5" s="99">
        <v>36</v>
      </c>
      <c r="AN5" s="99">
        <v>37</v>
      </c>
      <c r="AO5" s="99">
        <v>38</v>
      </c>
      <c r="AP5" s="99">
        <v>39</v>
      </c>
      <c r="AQ5" s="99">
        <v>40</v>
      </c>
      <c r="AR5" s="99">
        <v>41</v>
      </c>
      <c r="AS5" s="99">
        <v>42</v>
      </c>
      <c r="AT5" s="99">
        <v>43</v>
      </c>
      <c r="AU5" s="99">
        <v>44</v>
      </c>
      <c r="AV5" s="99">
        <v>45</v>
      </c>
      <c r="AW5" s="99">
        <v>46</v>
      </c>
      <c r="AX5" s="99">
        <v>47</v>
      </c>
      <c r="AY5" s="99">
        <v>48</v>
      </c>
      <c r="AZ5" s="99">
        <v>49</v>
      </c>
      <c r="BA5" s="99">
        <v>50</v>
      </c>
      <c r="BB5" s="99">
        <v>51</v>
      </c>
      <c r="BC5" s="99">
        <v>52</v>
      </c>
      <c r="BD5" s="99">
        <v>53</v>
      </c>
      <c r="BE5" s="99">
        <v>54</v>
      </c>
      <c r="BF5" s="99">
        <v>55</v>
      </c>
      <c r="BG5" s="99">
        <v>56</v>
      </c>
      <c r="BH5" s="100">
        <v>57</v>
      </c>
    </row>
    <row r="6" spans="2:73" s="1" customFormat="1" ht="12" customHeight="1">
      <c r="B6" s="298"/>
      <c r="C6" s="281"/>
      <c r="D6" s="388"/>
      <c r="E6" s="388"/>
      <c r="F6" s="388"/>
      <c r="G6" s="388"/>
      <c r="H6" s="388"/>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
      <c r="BJ6" s="2"/>
      <c r="BK6" s="2"/>
      <c r="BL6" s="2"/>
      <c r="BM6" s="2"/>
      <c r="BN6" s="2"/>
      <c r="BO6" s="2"/>
      <c r="BP6" s="2"/>
      <c r="BQ6" s="2"/>
      <c r="BR6" s="2"/>
      <c r="BS6" s="2"/>
      <c r="BT6" s="2"/>
      <c r="BU6" s="2"/>
    </row>
    <row r="7" spans="2:73" s="1" customFormat="1" ht="12" customHeight="1">
      <c r="B7" s="298" t="s">
        <v>418</v>
      </c>
      <c r="C7" s="281"/>
      <c r="D7" s="389">
        <v>0</v>
      </c>
      <c r="E7" s="389">
        <v>0.08342650726756687</v>
      </c>
      <c r="F7" s="389">
        <v>0.2760815343596801</v>
      </c>
      <c r="G7" s="389">
        <v>0.37550528941257416</v>
      </c>
      <c r="H7" s="389">
        <v>0.2649866689601789</v>
      </c>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
      <c r="BJ7" s="2"/>
      <c r="BK7" s="2"/>
      <c r="BL7" s="2"/>
      <c r="BM7" s="2"/>
      <c r="BN7" s="2"/>
      <c r="BO7" s="2"/>
      <c r="BP7" s="2"/>
      <c r="BQ7" s="2"/>
      <c r="BR7" s="2"/>
      <c r="BS7" s="2"/>
      <c r="BT7" s="2"/>
      <c r="BU7" s="2"/>
    </row>
    <row r="8" spans="2:73" s="97" customFormat="1" ht="12" customHeight="1">
      <c r="B8" s="382" t="s">
        <v>368</v>
      </c>
      <c r="C8" s="379"/>
      <c r="D8" s="390">
        <v>0</v>
      </c>
      <c r="E8" s="390">
        <v>970</v>
      </c>
      <c r="F8" s="390">
        <f>4180-E8</f>
        <v>3210</v>
      </c>
      <c r="G8" s="390">
        <f>8546-F8-E8</f>
        <v>4366</v>
      </c>
      <c r="H8" s="390">
        <f>11856-G8-F8-E8</f>
        <v>3310</v>
      </c>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83"/>
      <c r="AV8" s="283"/>
      <c r="AW8" s="283"/>
      <c r="AX8" s="283"/>
      <c r="AY8" s="283"/>
      <c r="AZ8" s="283"/>
      <c r="BA8" s="283"/>
      <c r="BB8" s="283"/>
      <c r="BC8" s="283"/>
      <c r="BD8" s="283"/>
      <c r="BE8" s="283"/>
      <c r="BF8" s="283"/>
      <c r="BG8" s="283"/>
      <c r="BH8" s="283"/>
      <c r="BI8" s="96"/>
      <c r="BJ8" s="96"/>
      <c r="BK8" s="96"/>
      <c r="BL8" s="96"/>
      <c r="BM8" s="96"/>
      <c r="BN8" s="96"/>
      <c r="BO8" s="96"/>
      <c r="BP8" s="96"/>
      <c r="BQ8" s="96"/>
      <c r="BR8" s="96"/>
      <c r="BS8" s="96"/>
      <c r="BT8" s="96"/>
      <c r="BU8" s="96"/>
    </row>
    <row r="9" spans="2:73" s="97" customFormat="1" ht="12" customHeight="1">
      <c r="B9" s="382" t="s">
        <v>420</v>
      </c>
      <c r="C9" s="380">
        <f>'Key Assumptions'!C20</f>
        <v>0.986</v>
      </c>
      <c r="D9" s="282"/>
      <c r="E9" s="282"/>
      <c r="F9" s="282"/>
      <c r="G9" s="282"/>
      <c r="H9" s="282"/>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3"/>
      <c r="AS9" s="283"/>
      <c r="AT9" s="283"/>
      <c r="AU9" s="283"/>
      <c r="AV9" s="283"/>
      <c r="AW9" s="283"/>
      <c r="AX9" s="283"/>
      <c r="AY9" s="283"/>
      <c r="AZ9" s="283"/>
      <c r="BA9" s="283"/>
      <c r="BB9" s="283"/>
      <c r="BC9" s="283"/>
      <c r="BD9" s="283"/>
      <c r="BE9" s="283"/>
      <c r="BF9" s="283"/>
      <c r="BG9" s="283"/>
      <c r="BH9" s="283"/>
      <c r="BI9" s="96"/>
      <c r="BJ9" s="96"/>
      <c r="BK9" s="96"/>
      <c r="BL9" s="96"/>
      <c r="BM9" s="96"/>
      <c r="BN9" s="96"/>
      <c r="BO9" s="96"/>
      <c r="BP9" s="96"/>
      <c r="BQ9" s="96"/>
      <c r="BR9" s="96"/>
      <c r="BS9" s="96"/>
      <c r="BT9" s="96"/>
      <c r="BU9" s="96"/>
    </row>
    <row r="10" spans="2:60" ht="12" customHeight="1">
      <c r="B10" s="292"/>
      <c r="C10" s="103"/>
      <c r="D10" s="103"/>
      <c r="E10" s="103"/>
      <c r="F10" s="103"/>
      <c r="G10" s="103"/>
      <c r="H10" s="103"/>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row>
    <row r="11" spans="2:60" ht="12" customHeight="1">
      <c r="B11" s="298" t="s">
        <v>270</v>
      </c>
      <c r="C11" s="103"/>
      <c r="D11" s="103"/>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284"/>
      <c r="AX11" s="284"/>
      <c r="AY11" s="284"/>
      <c r="AZ11" s="284"/>
      <c r="BA11" s="284"/>
      <c r="BB11" s="284"/>
      <c r="BC11" s="284"/>
      <c r="BD11" s="284"/>
      <c r="BE11" s="284"/>
      <c r="BF11" s="284"/>
      <c r="BG11" s="284"/>
      <c r="BH11" s="284"/>
    </row>
    <row r="12" spans="2:60" ht="12" customHeight="1">
      <c r="B12" s="292" t="s">
        <v>408</v>
      </c>
      <c r="C12" s="383">
        <f>'ERR &amp; Sensitivity Analysis'!G14</f>
        <v>157.79</v>
      </c>
      <c r="D12" s="103"/>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284"/>
      <c r="AX12" s="284"/>
      <c r="AY12" s="284"/>
      <c r="AZ12" s="284"/>
      <c r="BA12" s="284"/>
      <c r="BB12" s="284"/>
      <c r="BC12" s="284"/>
      <c r="BD12" s="284"/>
      <c r="BE12" s="284"/>
      <c r="BF12" s="284"/>
      <c r="BG12" s="284"/>
      <c r="BH12" s="284"/>
    </row>
    <row r="13" spans="2:60" ht="12" customHeight="1">
      <c r="B13" s="292"/>
      <c r="C13" s="383"/>
      <c r="D13" s="103"/>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4"/>
      <c r="AM13" s="284"/>
      <c r="AN13" s="284"/>
      <c r="AO13" s="284"/>
      <c r="AP13" s="284"/>
      <c r="AQ13" s="284"/>
      <c r="AR13" s="284"/>
      <c r="AS13" s="284"/>
      <c r="AT13" s="284"/>
      <c r="AU13" s="284"/>
      <c r="AV13" s="284"/>
      <c r="AW13" s="284"/>
      <c r="AX13" s="284"/>
      <c r="AY13" s="284"/>
      <c r="AZ13" s="284"/>
      <c r="BA13" s="284"/>
      <c r="BB13" s="284"/>
      <c r="BC13" s="284"/>
      <c r="BD13" s="284"/>
      <c r="BE13" s="284"/>
      <c r="BF13" s="284"/>
      <c r="BG13" s="284"/>
      <c r="BH13" s="284"/>
    </row>
    <row r="14" spans="2:60" ht="12" customHeight="1">
      <c r="B14" s="292"/>
      <c r="C14" s="383"/>
      <c r="D14" s="103"/>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4"/>
      <c r="AM14" s="284"/>
      <c r="AN14" s="284"/>
      <c r="AO14" s="284"/>
      <c r="AP14" s="284"/>
      <c r="AQ14" s="284"/>
      <c r="AR14" s="284"/>
      <c r="AS14" s="284"/>
      <c r="AT14" s="284"/>
      <c r="AU14" s="284"/>
      <c r="AV14" s="284"/>
      <c r="AW14" s="284"/>
      <c r="AX14" s="284"/>
      <c r="AY14" s="284"/>
      <c r="AZ14" s="284"/>
      <c r="BA14" s="284"/>
      <c r="BB14" s="284"/>
      <c r="BC14" s="284"/>
      <c r="BD14" s="284"/>
      <c r="BE14" s="284"/>
      <c r="BF14" s="284"/>
      <c r="BG14" s="284"/>
      <c r="BH14" s="284"/>
    </row>
    <row r="15" spans="2:60" ht="12" customHeight="1">
      <c r="B15" s="292" t="s">
        <v>449</v>
      </c>
      <c r="C15" s="391">
        <f>'Key Assumptions'!C13</f>
        <v>367.03</v>
      </c>
      <c r="D15" s="285"/>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284"/>
      <c r="AW15" s="284"/>
      <c r="AX15" s="284"/>
      <c r="AY15" s="284"/>
      <c r="AZ15" s="284"/>
      <c r="BA15" s="284"/>
      <c r="BB15" s="284"/>
      <c r="BC15" s="284"/>
      <c r="BD15" s="284"/>
      <c r="BE15" s="284"/>
      <c r="BF15" s="284"/>
      <c r="BG15" s="284"/>
      <c r="BH15" s="284"/>
    </row>
    <row r="16" spans="2:60" ht="12" customHeight="1">
      <c r="B16" s="292" t="s">
        <v>450</v>
      </c>
      <c r="C16" s="391">
        <f>'Key Assumptions'!C14</f>
        <v>149.67</v>
      </c>
      <c r="D16" s="285"/>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4"/>
      <c r="AP16" s="284"/>
      <c r="AQ16" s="284"/>
      <c r="AR16" s="284"/>
      <c r="AS16" s="284"/>
      <c r="AT16" s="284"/>
      <c r="AU16" s="284"/>
      <c r="AV16" s="284"/>
      <c r="AW16" s="284"/>
      <c r="AX16" s="284"/>
      <c r="AY16" s="284"/>
      <c r="AZ16" s="284"/>
      <c r="BA16" s="284"/>
      <c r="BB16" s="284"/>
      <c r="BC16" s="284"/>
      <c r="BD16" s="284"/>
      <c r="BE16" s="284"/>
      <c r="BF16" s="284"/>
      <c r="BG16" s="284"/>
      <c r="BH16" s="284"/>
    </row>
    <row r="17" spans="2:60" ht="12" customHeight="1">
      <c r="B17" s="292" t="s">
        <v>451</v>
      </c>
      <c r="C17" s="391">
        <f>'Key Assumptions'!C15</f>
        <v>293</v>
      </c>
      <c r="D17" s="285"/>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c r="AO17" s="284"/>
      <c r="AP17" s="284"/>
      <c r="AQ17" s="284"/>
      <c r="AR17" s="284"/>
      <c r="AS17" s="284"/>
      <c r="AT17" s="284"/>
      <c r="AU17" s="284"/>
      <c r="AV17" s="284"/>
      <c r="AW17" s="284"/>
      <c r="AX17" s="284"/>
      <c r="AY17" s="284"/>
      <c r="AZ17" s="284"/>
      <c r="BA17" s="284"/>
      <c r="BB17" s="284"/>
      <c r="BC17" s="284"/>
      <c r="BD17" s="284"/>
      <c r="BE17" s="284"/>
      <c r="BF17" s="284"/>
      <c r="BG17" s="284"/>
      <c r="BH17" s="284"/>
    </row>
    <row r="18" spans="2:60" ht="12" customHeight="1">
      <c r="B18" s="292" t="s">
        <v>452</v>
      </c>
      <c r="C18" s="391">
        <f>'Key Assumptions'!C16</f>
        <v>594.4545</v>
      </c>
      <c r="D18" s="285"/>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row>
    <row r="19" spans="2:60" ht="12" customHeight="1">
      <c r="B19" s="292" t="s">
        <v>415</v>
      </c>
      <c r="C19" s="391">
        <f>'Key Assumptions'!C18</f>
        <v>360</v>
      </c>
      <c r="D19" s="285"/>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c r="BB19" s="284"/>
      <c r="BC19" s="284"/>
      <c r="BD19" s="284"/>
      <c r="BE19" s="284"/>
      <c r="BF19" s="284"/>
      <c r="BG19" s="284"/>
      <c r="BH19" s="284"/>
    </row>
    <row r="20" spans="2:60" ht="12" customHeight="1">
      <c r="B20" s="292"/>
      <c r="C20" s="383"/>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c r="BB20" s="284"/>
      <c r="BC20" s="284"/>
      <c r="BD20" s="284"/>
      <c r="BE20" s="284"/>
      <c r="BF20" s="284"/>
      <c r="BG20" s="284"/>
      <c r="BH20" s="284"/>
    </row>
    <row r="21" spans="2:60" ht="12" customHeight="1">
      <c r="B21" s="399" t="s">
        <v>269</v>
      </c>
      <c r="C21" s="384"/>
      <c r="D21" s="284"/>
      <c r="E21" s="284"/>
      <c r="F21" s="284"/>
      <c r="G21" s="284"/>
      <c r="H21" s="284"/>
      <c r="I21" s="284"/>
      <c r="J21" s="284"/>
      <c r="K21" s="284"/>
      <c r="L21" s="284"/>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c r="BB21" s="284"/>
      <c r="BC21" s="284"/>
      <c r="BD21" s="284"/>
      <c r="BE21" s="284"/>
      <c r="BF21" s="284"/>
      <c r="BG21" s="284"/>
      <c r="BH21" s="284"/>
    </row>
    <row r="22" spans="2:60" ht="12" customHeight="1">
      <c r="B22" s="292" t="s">
        <v>266</v>
      </c>
      <c r="C22" s="392">
        <f>'Key Assumptions'!C7/'Key Assumptions'!C6</f>
        <v>0.01818181818181818</v>
      </c>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c r="BB22" s="284"/>
      <c r="BC22" s="284"/>
      <c r="BD22" s="284"/>
      <c r="BE22" s="284"/>
      <c r="BF22" s="284"/>
      <c r="BG22" s="284"/>
      <c r="BH22" s="284"/>
    </row>
    <row r="23" spans="2:60" ht="12" customHeight="1">
      <c r="B23" s="292" t="s">
        <v>406</v>
      </c>
      <c r="C23" s="392">
        <f>'Key Assumptions'!C8/'Key Assumptions'!C6</f>
        <v>0.14545454545454545</v>
      </c>
      <c r="D23" s="284"/>
      <c r="E23" s="284"/>
      <c r="F23" s="284"/>
      <c r="G23" s="284"/>
      <c r="H23" s="284"/>
      <c r="I23" s="284"/>
      <c r="J23" s="284"/>
      <c r="K23" s="284"/>
      <c r="L23" s="284"/>
      <c r="M23" s="284"/>
      <c r="N23" s="284"/>
      <c r="O23" s="284"/>
      <c r="P23" s="284"/>
      <c r="Q23" s="284"/>
      <c r="R23" s="284"/>
      <c r="S23" s="284"/>
      <c r="T23" s="284"/>
      <c r="U23" s="284"/>
      <c r="V23" s="284"/>
      <c r="W23" s="284"/>
      <c r="X23" s="284"/>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c r="BB23" s="284"/>
      <c r="BC23" s="284"/>
      <c r="BD23" s="284"/>
      <c r="BE23" s="284"/>
      <c r="BF23" s="284"/>
      <c r="BG23" s="284"/>
      <c r="BH23" s="284"/>
    </row>
    <row r="24" spans="2:60" ht="12" customHeight="1">
      <c r="B24" s="292" t="s">
        <v>390</v>
      </c>
      <c r="C24" s="392">
        <f>'Key Assumptions'!C9/'Key Assumptions'!C6</f>
        <v>0.24545454545454545</v>
      </c>
      <c r="D24" s="299"/>
      <c r="E24" s="284"/>
      <c r="F24" s="284"/>
      <c r="G24" s="284"/>
      <c r="H24" s="284"/>
      <c r="I24" s="284"/>
      <c r="J24" s="284"/>
      <c r="K24" s="284"/>
      <c r="L24" s="284"/>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c r="BB24" s="284"/>
      <c r="BC24" s="284"/>
      <c r="BD24" s="284"/>
      <c r="BE24" s="284"/>
      <c r="BF24" s="284"/>
      <c r="BG24" s="284"/>
      <c r="BH24" s="284"/>
    </row>
    <row r="25" spans="2:60" ht="12" customHeight="1">
      <c r="B25" s="292" t="s">
        <v>407</v>
      </c>
      <c r="C25" s="392">
        <f>'Key Assumptions'!C10/'Key Assumptions'!C6</f>
        <v>0.025</v>
      </c>
      <c r="D25" s="284"/>
      <c r="E25" s="284"/>
      <c r="F25" s="284"/>
      <c r="G25" s="284"/>
      <c r="H25" s="284"/>
      <c r="I25" s="284"/>
      <c r="J25" s="284"/>
      <c r="K25" s="284"/>
      <c r="L25" s="284"/>
      <c r="M25" s="284"/>
      <c r="N25" s="284"/>
      <c r="O25" s="284"/>
      <c r="P25" s="284"/>
      <c r="Q25" s="284"/>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c r="BB25" s="284"/>
      <c r="BC25" s="284"/>
      <c r="BD25" s="284"/>
      <c r="BE25" s="284"/>
      <c r="BF25" s="284"/>
      <c r="BG25" s="284"/>
      <c r="BH25" s="284"/>
    </row>
    <row r="26" spans="2:60" ht="12" customHeight="1">
      <c r="B26" s="292" t="s">
        <v>413</v>
      </c>
      <c r="C26" s="392">
        <f>'Key Assumptions'!C12/'Key Assumptions'!C6</f>
        <v>0.011363636363636364</v>
      </c>
      <c r="D26" s="284"/>
      <c r="E26" s="284"/>
      <c r="F26" s="284"/>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284"/>
      <c r="BF26" s="284"/>
      <c r="BG26" s="284"/>
      <c r="BH26" s="284"/>
    </row>
    <row r="27" spans="2:60" ht="12" customHeight="1">
      <c r="B27" s="292" t="s">
        <v>268</v>
      </c>
      <c r="C27" s="385">
        <v>0.0452</v>
      </c>
      <c r="D27" s="545" t="s">
        <v>485</v>
      </c>
      <c r="E27" s="545"/>
      <c r="F27" s="545"/>
      <c r="G27" s="284"/>
      <c r="H27" s="284"/>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c r="BB27" s="284"/>
      <c r="BC27" s="284"/>
      <c r="BD27" s="284"/>
      <c r="BE27" s="284"/>
      <c r="BF27" s="284"/>
      <c r="BG27" s="284"/>
      <c r="BH27" s="284"/>
    </row>
    <row r="28" spans="2:60" ht="12" customHeight="1">
      <c r="B28" s="292" t="s">
        <v>267</v>
      </c>
      <c r="C28" s="386">
        <f>+C40/SUM(D8:H8)*1000</f>
        <v>355.3955145074231</v>
      </c>
      <c r="D28" s="284"/>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c r="BB28" s="284"/>
      <c r="BC28" s="284"/>
      <c r="BD28" s="284"/>
      <c r="BE28" s="284"/>
      <c r="BF28" s="284"/>
      <c r="BG28" s="284"/>
      <c r="BH28" s="284"/>
    </row>
    <row r="29" spans="2:60" ht="12" customHeight="1">
      <c r="B29" s="292"/>
      <c r="C29" s="293"/>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c r="BB29" s="284"/>
      <c r="BC29" s="284"/>
      <c r="BD29" s="284"/>
      <c r="BE29" s="284"/>
      <c r="BF29" s="284"/>
      <c r="BG29" s="284"/>
      <c r="BH29" s="284"/>
    </row>
    <row r="30" spans="2:60" ht="12" customHeight="1">
      <c r="B30" s="399" t="s">
        <v>416</v>
      </c>
      <c r="C30" s="293"/>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c r="BB30" s="284"/>
      <c r="BC30" s="284"/>
      <c r="BD30" s="284"/>
      <c r="BE30" s="284"/>
      <c r="BF30" s="284"/>
      <c r="BG30" s="284"/>
      <c r="BH30" s="284"/>
    </row>
    <row r="31" spans="1:60" ht="12" customHeight="1">
      <c r="A31" s="395"/>
      <c r="B31" s="292" t="s">
        <v>266</v>
      </c>
      <c r="C31" s="386">
        <f>C22*(C15-$C$12)*'Key Assumptions'!$C$19</f>
        <v>3.804363636363636</v>
      </c>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c r="BB31" s="284"/>
      <c r="BC31" s="284"/>
      <c r="BD31" s="284"/>
      <c r="BE31" s="284"/>
      <c r="BF31" s="284"/>
      <c r="BG31" s="284"/>
      <c r="BH31" s="284"/>
    </row>
    <row r="32" spans="1:60" ht="12" customHeight="1">
      <c r="A32" s="395"/>
      <c r="B32" s="292" t="s">
        <v>406</v>
      </c>
      <c r="C32" s="386">
        <f>C23*(C16-$C$12)*'Key Assumptions'!$C$19</f>
        <v>-1.1810909090909096</v>
      </c>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c r="BB32" s="284"/>
      <c r="BC32" s="284"/>
      <c r="BD32" s="284"/>
      <c r="BE32" s="284"/>
      <c r="BF32" s="284"/>
      <c r="BG32" s="284"/>
      <c r="BH32" s="284"/>
    </row>
    <row r="33" spans="1:60" ht="12" customHeight="1">
      <c r="A33" s="395"/>
      <c r="B33" s="292" t="s">
        <v>390</v>
      </c>
      <c r="C33" s="386">
        <f>IF(C24*(C17-$C$12)&gt;0,C24*(C17-$C$12)*'Key Assumptions'!$C$19,0)</f>
        <v>33.187909090909095</v>
      </c>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c r="BB33" s="284"/>
      <c r="BC33" s="284"/>
      <c r="BD33" s="284"/>
      <c r="BE33" s="284"/>
      <c r="BF33" s="284"/>
      <c r="BG33" s="284"/>
      <c r="BH33" s="284"/>
    </row>
    <row r="34" spans="1:60" ht="12" customHeight="1">
      <c r="A34" s="395"/>
      <c r="B34" s="292" t="s">
        <v>407</v>
      </c>
      <c r="C34" s="386">
        <f>IF(C25*(C18-$C$12)&gt;0,C25*(C18-$C$12)*'Key Assumptions'!$C$19,0)</f>
        <v>10.916612500000003</v>
      </c>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c r="BB34" s="284"/>
      <c r="BC34" s="284"/>
      <c r="BD34" s="284"/>
      <c r="BE34" s="284"/>
      <c r="BF34" s="284"/>
      <c r="BG34" s="284"/>
      <c r="BH34" s="284"/>
    </row>
    <row r="35" spans="1:60" ht="12" customHeight="1">
      <c r="A35" s="395"/>
      <c r="B35" s="292" t="s">
        <v>417</v>
      </c>
      <c r="C35" s="386">
        <f>IF(C26*(C19-$C$12)&gt;0,C26*(C19-$C$12)*'Key Assumptions'!$C$19,0)</f>
        <v>2.297840909090909</v>
      </c>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row>
    <row r="36" spans="2:60" s="93" customFormat="1" ht="12" customHeight="1">
      <c r="B36" s="294"/>
      <c r="C36" s="387"/>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295"/>
      <c r="AL36" s="295"/>
      <c r="AM36" s="295"/>
      <c r="AN36" s="295"/>
      <c r="AO36" s="295"/>
      <c r="AP36" s="295"/>
      <c r="AQ36" s="295"/>
      <c r="AR36" s="295"/>
      <c r="AS36" s="295"/>
      <c r="AT36" s="295"/>
      <c r="AU36" s="295"/>
      <c r="AV36" s="295"/>
      <c r="AW36" s="295"/>
      <c r="AX36" s="295"/>
      <c r="AY36" s="295"/>
      <c r="AZ36" s="295"/>
      <c r="BA36" s="295"/>
      <c r="BB36" s="295"/>
      <c r="BC36" s="295"/>
      <c r="BD36" s="295"/>
      <c r="BE36" s="295"/>
      <c r="BF36" s="295"/>
      <c r="BG36" s="295"/>
      <c r="BH36" s="295"/>
    </row>
    <row r="37" spans="2:60" s="93" customFormat="1" ht="12" customHeight="1">
      <c r="B37" s="87"/>
      <c r="C37" s="296"/>
      <c r="D37" s="297"/>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297"/>
      <c r="AV37" s="297"/>
      <c r="AW37" s="297"/>
      <c r="AX37" s="297"/>
      <c r="AY37" s="297"/>
      <c r="AZ37" s="297"/>
      <c r="BA37" s="297"/>
      <c r="BB37" s="297"/>
      <c r="BC37" s="297"/>
      <c r="BD37" s="297"/>
      <c r="BE37" s="297"/>
      <c r="BF37" s="297"/>
      <c r="BG37" s="297"/>
      <c r="BH37" s="297"/>
    </row>
    <row r="38" spans="2:74" s="403" customFormat="1" ht="12" customHeight="1">
      <c r="B38" s="396" t="s">
        <v>483</v>
      </c>
      <c r="C38" s="397"/>
      <c r="D38" s="99">
        <v>1</v>
      </c>
      <c r="E38" s="99">
        <v>2</v>
      </c>
      <c r="F38" s="99">
        <v>3</v>
      </c>
      <c r="G38" s="99">
        <v>4</v>
      </c>
      <c r="H38" s="99">
        <v>5</v>
      </c>
      <c r="I38" s="99">
        <v>6</v>
      </c>
      <c r="J38" s="99">
        <v>7</v>
      </c>
      <c r="K38" s="99">
        <v>8</v>
      </c>
      <c r="L38" s="99">
        <v>9</v>
      </c>
      <c r="M38" s="99">
        <v>10</v>
      </c>
      <c r="N38" s="99">
        <v>11</v>
      </c>
      <c r="O38" s="99">
        <v>12</v>
      </c>
      <c r="P38" s="99">
        <v>13</v>
      </c>
      <c r="Q38" s="99">
        <v>14</v>
      </c>
      <c r="R38" s="99">
        <v>15</v>
      </c>
      <c r="S38" s="99">
        <v>16</v>
      </c>
      <c r="T38" s="99">
        <v>17</v>
      </c>
      <c r="U38" s="99">
        <v>18</v>
      </c>
      <c r="V38" s="99">
        <v>19</v>
      </c>
      <c r="W38" s="99">
        <v>20</v>
      </c>
      <c r="X38" s="99">
        <v>21</v>
      </c>
      <c r="Y38" s="99">
        <v>22</v>
      </c>
      <c r="Z38" s="99">
        <v>23</v>
      </c>
      <c r="AA38" s="99">
        <v>24</v>
      </c>
      <c r="AB38" s="99">
        <v>25</v>
      </c>
      <c r="AC38" s="99">
        <v>26</v>
      </c>
      <c r="AD38" s="99">
        <v>27</v>
      </c>
      <c r="AE38" s="99">
        <v>28</v>
      </c>
      <c r="AF38" s="99">
        <v>29</v>
      </c>
      <c r="AG38" s="99">
        <v>30</v>
      </c>
      <c r="AH38" s="99">
        <v>31</v>
      </c>
      <c r="AI38" s="99">
        <v>32</v>
      </c>
      <c r="AJ38" s="99">
        <v>33</v>
      </c>
      <c r="AK38" s="99">
        <v>34</v>
      </c>
      <c r="AL38" s="99">
        <v>35</v>
      </c>
      <c r="AM38" s="99">
        <v>36</v>
      </c>
      <c r="AN38" s="99">
        <v>37</v>
      </c>
      <c r="AO38" s="99">
        <v>38</v>
      </c>
      <c r="AP38" s="99">
        <v>39</v>
      </c>
      <c r="AQ38" s="99">
        <v>40</v>
      </c>
      <c r="AR38" s="99">
        <v>41</v>
      </c>
      <c r="AS38" s="99">
        <v>42</v>
      </c>
      <c r="AT38" s="99">
        <v>43</v>
      </c>
      <c r="AU38" s="99">
        <v>44</v>
      </c>
      <c r="AV38" s="99">
        <v>45</v>
      </c>
      <c r="AW38" s="99">
        <v>46</v>
      </c>
      <c r="AX38" s="99">
        <v>47</v>
      </c>
      <c r="AY38" s="99">
        <v>48</v>
      </c>
      <c r="AZ38" s="99">
        <v>49</v>
      </c>
      <c r="BA38" s="99">
        <v>50</v>
      </c>
      <c r="BB38" s="99">
        <v>51</v>
      </c>
      <c r="BC38" s="99">
        <v>52</v>
      </c>
      <c r="BD38" s="99">
        <v>53</v>
      </c>
      <c r="BE38" s="99">
        <v>54</v>
      </c>
      <c r="BF38" s="99">
        <v>55</v>
      </c>
      <c r="BG38" s="99">
        <v>56</v>
      </c>
      <c r="BH38" s="100">
        <v>57</v>
      </c>
      <c r="BV38" s="395"/>
    </row>
    <row r="39" spans="2:73" s="395" customFormat="1" ht="12" customHeight="1">
      <c r="B39" s="399" t="s">
        <v>271</v>
      </c>
      <c r="C39" s="288"/>
      <c r="D39" s="401"/>
      <c r="E39" s="401"/>
      <c r="F39" s="401"/>
      <c r="G39" s="401"/>
      <c r="H39" s="401"/>
      <c r="I39" s="402"/>
      <c r="J39" s="402"/>
      <c r="K39" s="402"/>
      <c r="L39" s="402"/>
      <c r="M39" s="402"/>
      <c r="N39" s="402"/>
      <c r="O39" s="402"/>
      <c r="P39" s="402"/>
      <c r="Q39" s="402"/>
      <c r="R39" s="402"/>
      <c r="S39" s="402"/>
      <c r="T39" s="402"/>
      <c r="U39" s="402"/>
      <c r="V39" s="402"/>
      <c r="W39" s="402"/>
      <c r="X39" s="402"/>
      <c r="Y39" s="402"/>
      <c r="Z39" s="402"/>
      <c r="AA39" s="402"/>
      <c r="AB39" s="402"/>
      <c r="AC39" s="402"/>
      <c r="AD39" s="402"/>
      <c r="AE39" s="402"/>
      <c r="AF39" s="402"/>
      <c r="AG39" s="402"/>
      <c r="AH39" s="402"/>
      <c r="AI39" s="402"/>
      <c r="AJ39" s="402"/>
      <c r="AK39" s="402"/>
      <c r="AL39" s="402"/>
      <c r="AM39" s="402"/>
      <c r="AN39" s="402"/>
      <c r="AO39" s="402"/>
      <c r="AP39" s="402"/>
      <c r="AQ39" s="402"/>
      <c r="AR39" s="402"/>
      <c r="AS39" s="402"/>
      <c r="AT39" s="402"/>
      <c r="AU39" s="402"/>
      <c r="AV39" s="402"/>
      <c r="AW39" s="402"/>
      <c r="AX39" s="402"/>
      <c r="AY39" s="402"/>
      <c r="AZ39" s="402"/>
      <c r="BA39" s="402"/>
      <c r="BB39" s="402"/>
      <c r="BC39" s="402"/>
      <c r="BD39" s="402"/>
      <c r="BE39" s="402"/>
      <c r="BF39" s="402"/>
      <c r="BG39" s="402"/>
      <c r="BH39" s="402"/>
      <c r="BI39" s="403"/>
      <c r="BJ39" s="403"/>
      <c r="BK39" s="403"/>
      <c r="BL39" s="403"/>
      <c r="BM39" s="403"/>
      <c r="BN39" s="403"/>
      <c r="BO39" s="403"/>
      <c r="BP39" s="403"/>
      <c r="BQ39" s="403"/>
      <c r="BR39" s="403"/>
      <c r="BS39" s="403"/>
      <c r="BT39" s="403"/>
      <c r="BU39" s="403"/>
    </row>
    <row r="40" spans="2:73" s="404" customFormat="1" ht="12" customHeight="1">
      <c r="B40" s="405" t="s">
        <v>419</v>
      </c>
      <c r="C40" s="286">
        <f>+SUM(D40:H40)</f>
        <v>4213.5692200000085</v>
      </c>
      <c r="D40" s="379">
        <v>0</v>
      </c>
      <c r="E40" s="379">
        <v>321.1544</v>
      </c>
      <c r="F40" s="379">
        <v>1328.88359</v>
      </c>
      <c r="G40" s="379">
        <v>1255.6041700000076</v>
      </c>
      <c r="H40" s="379">
        <v>1307.9270600000004</v>
      </c>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286"/>
      <c r="AW40" s="286"/>
      <c r="AX40" s="286"/>
      <c r="AY40" s="286"/>
      <c r="AZ40" s="286"/>
      <c r="BA40" s="286"/>
      <c r="BB40" s="286"/>
      <c r="BC40" s="286"/>
      <c r="BD40" s="286"/>
      <c r="BE40" s="286"/>
      <c r="BF40" s="286"/>
      <c r="BG40" s="286"/>
      <c r="BH40" s="286"/>
      <c r="BI40" s="406"/>
      <c r="BJ40" s="406"/>
      <c r="BK40" s="406"/>
      <c r="BL40" s="406"/>
      <c r="BM40" s="406"/>
      <c r="BN40" s="406"/>
      <c r="BO40" s="406"/>
      <c r="BP40" s="406"/>
      <c r="BQ40" s="406"/>
      <c r="BR40" s="406"/>
      <c r="BS40" s="406"/>
      <c r="BT40" s="406"/>
      <c r="BU40" s="406"/>
    </row>
    <row r="41" spans="2:73" s="404" customFormat="1" ht="12" customHeight="1">
      <c r="B41" s="405" t="s">
        <v>265</v>
      </c>
      <c r="C41" s="286">
        <f>+SUM(D41:H41)</f>
        <v>252.49886353361126</v>
      </c>
      <c r="D41" s="283">
        <v>0</v>
      </c>
      <c r="E41" s="283">
        <v>38.65248079846572</v>
      </c>
      <c r="F41" s="283">
        <v>59.71279912757165</v>
      </c>
      <c r="G41" s="283">
        <v>53.88654414247382</v>
      </c>
      <c r="H41" s="283">
        <v>100.24703946510007</v>
      </c>
      <c r="I41" s="286"/>
      <c r="J41" s="286"/>
      <c r="K41" s="286"/>
      <c r="L41" s="286"/>
      <c r="M41" s="286"/>
      <c r="N41" s="286"/>
      <c r="O41" s="286"/>
      <c r="P41" s="286"/>
      <c r="Q41" s="286"/>
      <c r="R41" s="286"/>
      <c r="S41" s="286"/>
      <c r="T41" s="286"/>
      <c r="U41" s="286"/>
      <c r="V41" s="286"/>
      <c r="W41" s="286"/>
      <c r="X41" s="286"/>
      <c r="Y41" s="286"/>
      <c r="Z41" s="286"/>
      <c r="AA41" s="286"/>
      <c r="AB41" s="286"/>
      <c r="AC41" s="286"/>
      <c r="AD41" s="286"/>
      <c r="AE41" s="286"/>
      <c r="AF41" s="286"/>
      <c r="AG41" s="286"/>
      <c r="AH41" s="286"/>
      <c r="AI41" s="286"/>
      <c r="AJ41" s="286"/>
      <c r="AK41" s="286"/>
      <c r="AL41" s="286"/>
      <c r="AM41" s="286"/>
      <c r="AN41" s="286"/>
      <c r="AO41" s="286"/>
      <c r="AP41" s="286"/>
      <c r="AQ41" s="286"/>
      <c r="AR41" s="286"/>
      <c r="AS41" s="286"/>
      <c r="AT41" s="286"/>
      <c r="AU41" s="286"/>
      <c r="AV41" s="286"/>
      <c r="AW41" s="286"/>
      <c r="AX41" s="286"/>
      <c r="AY41" s="286"/>
      <c r="AZ41" s="286"/>
      <c r="BA41" s="286"/>
      <c r="BB41" s="286"/>
      <c r="BC41" s="286"/>
      <c r="BD41" s="286"/>
      <c r="BE41" s="286"/>
      <c r="BF41" s="286"/>
      <c r="BG41" s="286"/>
      <c r="BH41" s="286"/>
      <c r="BI41" s="406"/>
      <c r="BJ41" s="406"/>
      <c r="BK41" s="406"/>
      <c r="BL41" s="406"/>
      <c r="BM41" s="406"/>
      <c r="BN41" s="406"/>
      <c r="BO41" s="406"/>
      <c r="BP41" s="406"/>
      <c r="BQ41" s="406"/>
      <c r="BR41" s="406"/>
      <c r="BS41" s="406"/>
      <c r="BT41" s="406"/>
      <c r="BU41" s="406"/>
    </row>
    <row r="42" spans="2:73" s="404" customFormat="1" ht="12" customHeight="1">
      <c r="B42" s="407" t="s">
        <v>272</v>
      </c>
      <c r="C42" s="286">
        <f>NPV(0.1,D42:BH42)</f>
        <v>3109.3991805135934</v>
      </c>
      <c r="D42" s="286">
        <f>(SUM(D40:D41))*$L$56</f>
        <v>0</v>
      </c>
      <c r="E42" s="286">
        <f aca="true" t="shared" si="0" ref="E42:AI42">(SUM(E40:E41))*$L$56</f>
        <v>359.8068807984657</v>
      </c>
      <c r="F42" s="286">
        <f>(SUM(F40:F41))*$L$56</f>
        <v>1388.5963891275715</v>
      </c>
      <c r="G42" s="286">
        <f t="shared" si="0"/>
        <v>1309.4907141424815</v>
      </c>
      <c r="H42" s="286">
        <f t="shared" si="0"/>
        <v>1408.1740994651004</v>
      </c>
      <c r="I42" s="286">
        <f t="shared" si="0"/>
        <v>0</v>
      </c>
      <c r="J42" s="286">
        <f t="shared" si="0"/>
        <v>0</v>
      </c>
      <c r="K42" s="286">
        <f t="shared" si="0"/>
        <v>0</v>
      </c>
      <c r="L42" s="286">
        <f t="shared" si="0"/>
        <v>0</v>
      </c>
      <c r="M42" s="286">
        <f t="shared" si="0"/>
        <v>0</v>
      </c>
      <c r="N42" s="286">
        <f t="shared" si="0"/>
        <v>0</v>
      </c>
      <c r="O42" s="286">
        <f t="shared" si="0"/>
        <v>0</v>
      </c>
      <c r="P42" s="286">
        <f t="shared" si="0"/>
        <v>0</v>
      </c>
      <c r="Q42" s="286">
        <f t="shared" si="0"/>
        <v>0</v>
      </c>
      <c r="R42" s="286">
        <f t="shared" si="0"/>
        <v>0</v>
      </c>
      <c r="S42" s="286">
        <f t="shared" si="0"/>
        <v>0</v>
      </c>
      <c r="T42" s="286">
        <f t="shared" si="0"/>
        <v>0</v>
      </c>
      <c r="U42" s="286">
        <f t="shared" si="0"/>
        <v>0</v>
      </c>
      <c r="V42" s="286">
        <f t="shared" si="0"/>
        <v>0</v>
      </c>
      <c r="W42" s="286">
        <f t="shared" si="0"/>
        <v>0</v>
      </c>
      <c r="X42" s="286">
        <f t="shared" si="0"/>
        <v>0</v>
      </c>
      <c r="Y42" s="286">
        <f t="shared" si="0"/>
        <v>0</v>
      </c>
      <c r="Z42" s="286">
        <f t="shared" si="0"/>
        <v>0</v>
      </c>
      <c r="AA42" s="286">
        <f t="shared" si="0"/>
        <v>0</v>
      </c>
      <c r="AB42" s="286">
        <f t="shared" si="0"/>
        <v>0</v>
      </c>
      <c r="AC42" s="286">
        <f t="shared" si="0"/>
        <v>0</v>
      </c>
      <c r="AD42" s="286">
        <f t="shared" si="0"/>
        <v>0</v>
      </c>
      <c r="AE42" s="286">
        <f t="shared" si="0"/>
        <v>0</v>
      </c>
      <c r="AF42" s="286">
        <f t="shared" si="0"/>
        <v>0</v>
      </c>
      <c r="AG42" s="286">
        <f t="shared" si="0"/>
        <v>0</v>
      </c>
      <c r="AH42" s="286">
        <f t="shared" si="0"/>
        <v>0</v>
      </c>
      <c r="AI42" s="286">
        <f t="shared" si="0"/>
        <v>0</v>
      </c>
      <c r="AJ42" s="286">
        <f aca="true" t="shared" si="1" ref="AJ42:BH42">(SUM(AJ40:AJ41))*$L$56</f>
        <v>0</v>
      </c>
      <c r="AK42" s="286">
        <f t="shared" si="1"/>
        <v>0</v>
      </c>
      <c r="AL42" s="286">
        <f t="shared" si="1"/>
        <v>0</v>
      </c>
      <c r="AM42" s="286">
        <f t="shared" si="1"/>
        <v>0</v>
      </c>
      <c r="AN42" s="286">
        <f t="shared" si="1"/>
        <v>0</v>
      </c>
      <c r="AO42" s="286">
        <f t="shared" si="1"/>
        <v>0</v>
      </c>
      <c r="AP42" s="286">
        <f t="shared" si="1"/>
        <v>0</v>
      </c>
      <c r="AQ42" s="286">
        <f t="shared" si="1"/>
        <v>0</v>
      </c>
      <c r="AR42" s="286">
        <f t="shared" si="1"/>
        <v>0</v>
      </c>
      <c r="AS42" s="286">
        <f t="shared" si="1"/>
        <v>0</v>
      </c>
      <c r="AT42" s="286">
        <f t="shared" si="1"/>
        <v>0</v>
      </c>
      <c r="AU42" s="286">
        <f t="shared" si="1"/>
        <v>0</v>
      </c>
      <c r="AV42" s="286">
        <f t="shared" si="1"/>
        <v>0</v>
      </c>
      <c r="AW42" s="286">
        <f t="shared" si="1"/>
        <v>0</v>
      </c>
      <c r="AX42" s="286">
        <f t="shared" si="1"/>
        <v>0</v>
      </c>
      <c r="AY42" s="286">
        <f t="shared" si="1"/>
        <v>0</v>
      </c>
      <c r="AZ42" s="286">
        <f t="shared" si="1"/>
        <v>0</v>
      </c>
      <c r="BA42" s="286">
        <f t="shared" si="1"/>
        <v>0</v>
      </c>
      <c r="BB42" s="286">
        <f t="shared" si="1"/>
        <v>0</v>
      </c>
      <c r="BC42" s="286">
        <f t="shared" si="1"/>
        <v>0</v>
      </c>
      <c r="BD42" s="286">
        <f t="shared" si="1"/>
        <v>0</v>
      </c>
      <c r="BE42" s="286">
        <f t="shared" si="1"/>
        <v>0</v>
      </c>
      <c r="BF42" s="286">
        <f t="shared" si="1"/>
        <v>0</v>
      </c>
      <c r="BG42" s="286">
        <f t="shared" si="1"/>
        <v>0</v>
      </c>
      <c r="BH42" s="286">
        <f t="shared" si="1"/>
        <v>0</v>
      </c>
      <c r="BI42" s="406"/>
      <c r="BJ42" s="406"/>
      <c r="BK42" s="406"/>
      <c r="BL42" s="406"/>
      <c r="BM42" s="406"/>
      <c r="BN42" s="406"/>
      <c r="BO42" s="406"/>
      <c r="BP42" s="406"/>
      <c r="BQ42" s="406"/>
      <c r="BR42" s="406"/>
      <c r="BS42" s="406"/>
      <c r="BT42" s="406"/>
      <c r="BU42" s="406"/>
    </row>
    <row r="43" spans="2:73" s="395" customFormat="1" ht="12" customHeight="1" hidden="1">
      <c r="B43" s="292" t="s">
        <v>376</v>
      </c>
      <c r="C43" s="286">
        <f>NPV(0.1,D43:BH43)</f>
        <v>3.661453882904061</v>
      </c>
      <c r="D43" s="287">
        <f>1/D79*100</f>
        <v>1</v>
      </c>
      <c r="E43" s="287">
        <f>1/E79*100</f>
        <v>0.9634053651862935</v>
      </c>
      <c r="F43" s="287">
        <f>1/F79*100</f>
        <v>0.9671892820998861</v>
      </c>
      <c r="G43" s="287">
        <f>1/G79*100</f>
        <v>0.9508231671206917</v>
      </c>
      <c r="H43" s="287">
        <f>1/H79*100</f>
        <v>0.9342110367192411</v>
      </c>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403"/>
      <c r="BJ43" s="403"/>
      <c r="BK43" s="403"/>
      <c r="BL43" s="403"/>
      <c r="BM43" s="403"/>
      <c r="BN43" s="403"/>
      <c r="BO43" s="403"/>
      <c r="BP43" s="403"/>
      <c r="BQ43" s="403"/>
      <c r="BR43" s="403"/>
      <c r="BS43" s="403"/>
      <c r="BT43" s="403"/>
      <c r="BU43" s="403"/>
    </row>
    <row r="44" spans="2:73" s="404" customFormat="1" ht="12" customHeight="1" hidden="1">
      <c r="B44" s="407" t="s">
        <v>377</v>
      </c>
      <c r="C44" s="286">
        <f>NPV(0.1,D44:BH44)</f>
        <v>2962.77948779119</v>
      </c>
      <c r="D44" s="286">
        <f>D42*D43</f>
        <v>0</v>
      </c>
      <c r="E44" s="286">
        <f>E42*E43</f>
        <v>346.639879392187</v>
      </c>
      <c r="F44" s="286">
        <f>F42*F43</f>
        <v>1343.0355447267898</v>
      </c>
      <c r="G44" s="286">
        <f>G42*G43</f>
        <v>1245.0941081360907</v>
      </c>
      <c r="H44" s="286">
        <f>H42*H43</f>
        <v>1315.5317853424751</v>
      </c>
      <c r="I44" s="286"/>
      <c r="J44" s="286"/>
      <c r="K44" s="286"/>
      <c r="L44" s="286"/>
      <c r="M44" s="286"/>
      <c r="N44" s="286"/>
      <c r="O44" s="286"/>
      <c r="P44" s="286"/>
      <c r="Q44" s="286"/>
      <c r="R44" s="286"/>
      <c r="S44" s="286"/>
      <c r="T44" s="286"/>
      <c r="U44" s="286"/>
      <c r="V44" s="286"/>
      <c r="W44" s="286"/>
      <c r="X44" s="286"/>
      <c r="Y44" s="286"/>
      <c r="Z44" s="286"/>
      <c r="AA44" s="286"/>
      <c r="AB44" s="286"/>
      <c r="AC44" s="286"/>
      <c r="AD44" s="286"/>
      <c r="AE44" s="286"/>
      <c r="AF44" s="286"/>
      <c r="AG44" s="286"/>
      <c r="AH44" s="286"/>
      <c r="AI44" s="286"/>
      <c r="AJ44" s="286"/>
      <c r="AK44" s="286"/>
      <c r="AL44" s="286"/>
      <c r="AM44" s="286"/>
      <c r="AN44" s="286"/>
      <c r="AO44" s="286"/>
      <c r="AP44" s="286"/>
      <c r="AQ44" s="286"/>
      <c r="AR44" s="286"/>
      <c r="AS44" s="286"/>
      <c r="AT44" s="286"/>
      <c r="AU44" s="286"/>
      <c r="AV44" s="286"/>
      <c r="AW44" s="286"/>
      <c r="AX44" s="286"/>
      <c r="AY44" s="286"/>
      <c r="AZ44" s="286"/>
      <c r="BA44" s="286"/>
      <c r="BB44" s="286"/>
      <c r="BC44" s="286"/>
      <c r="BD44" s="286"/>
      <c r="BE44" s="286"/>
      <c r="BF44" s="286"/>
      <c r="BG44" s="286"/>
      <c r="BH44" s="286"/>
      <c r="BI44" s="406"/>
      <c r="BJ44" s="406"/>
      <c r="BK44" s="406"/>
      <c r="BL44" s="406"/>
      <c r="BM44" s="406"/>
      <c r="BN44" s="406"/>
      <c r="BO44" s="406"/>
      <c r="BP44" s="406"/>
      <c r="BQ44" s="406"/>
      <c r="BR44" s="406"/>
      <c r="BS44" s="406"/>
      <c r="BT44" s="406"/>
      <c r="BU44" s="406"/>
    </row>
    <row r="45" spans="2:73" s="404" customFormat="1" ht="12" customHeight="1">
      <c r="B45" s="292" t="s">
        <v>421</v>
      </c>
      <c r="C45" s="286">
        <f>NPV(0.1,D45:BH45)</f>
        <v>3.800533000141687</v>
      </c>
      <c r="D45" s="299">
        <f>$E$79/D79</f>
        <v>1.03798466993863</v>
      </c>
      <c r="E45" s="299">
        <f>$E$79/E79</f>
        <v>1</v>
      </c>
      <c r="F45" s="299">
        <f>$E$79/F79</f>
        <v>1.0039276477486305</v>
      </c>
      <c r="G45" s="299">
        <f>$E$79/G79</f>
        <v>0.9869398712937739</v>
      </c>
      <c r="H45" s="299">
        <f>$E$79/H79</f>
        <v>0.9696967346020466</v>
      </c>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286"/>
      <c r="AR45" s="286"/>
      <c r="AS45" s="286"/>
      <c r="AT45" s="286"/>
      <c r="AU45" s="286"/>
      <c r="AV45" s="286"/>
      <c r="AW45" s="286"/>
      <c r="AX45" s="286"/>
      <c r="AY45" s="286"/>
      <c r="AZ45" s="286"/>
      <c r="BA45" s="286"/>
      <c r="BB45" s="286"/>
      <c r="BC45" s="286"/>
      <c r="BD45" s="286"/>
      <c r="BE45" s="286"/>
      <c r="BF45" s="286"/>
      <c r="BG45" s="286"/>
      <c r="BH45" s="286"/>
      <c r="BI45" s="406"/>
      <c r="BJ45" s="406"/>
      <c r="BK45" s="406"/>
      <c r="BL45" s="406"/>
      <c r="BM45" s="406"/>
      <c r="BN45" s="406"/>
      <c r="BO45" s="406"/>
      <c r="BP45" s="406"/>
      <c r="BQ45" s="406"/>
      <c r="BR45" s="406"/>
      <c r="BS45" s="406"/>
      <c r="BT45" s="406"/>
      <c r="BU45" s="406"/>
    </row>
    <row r="46" spans="2:73" s="404" customFormat="1" ht="12" customHeight="1">
      <c r="B46" s="292" t="s">
        <v>422</v>
      </c>
      <c r="C46" s="286">
        <f>NPV(0.1,D46:BH46)</f>
        <v>3075.3196887358813</v>
      </c>
      <c r="D46" s="299">
        <f>D45*D42</f>
        <v>0</v>
      </c>
      <c r="E46" s="299">
        <f>E45*E42</f>
        <v>359.8068807984657</v>
      </c>
      <c r="F46" s="299">
        <f>F45*F42</f>
        <v>1394.0503066090848</v>
      </c>
      <c r="G46" s="299">
        <f>G45*G42</f>
        <v>1292.3885968761726</v>
      </c>
      <c r="H46" s="299">
        <f>H45*H42</f>
        <v>1365.5018260024856</v>
      </c>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286"/>
      <c r="AZ46" s="286"/>
      <c r="BA46" s="286"/>
      <c r="BB46" s="286"/>
      <c r="BC46" s="286"/>
      <c r="BD46" s="286"/>
      <c r="BE46" s="286"/>
      <c r="BF46" s="286"/>
      <c r="BG46" s="286"/>
      <c r="BH46" s="286"/>
      <c r="BI46" s="406"/>
      <c r="BJ46" s="406"/>
      <c r="BK46" s="406"/>
      <c r="BL46" s="406"/>
      <c r="BM46" s="406"/>
      <c r="BN46" s="406"/>
      <c r="BO46" s="406"/>
      <c r="BP46" s="406"/>
      <c r="BQ46" s="406"/>
      <c r="BR46" s="406"/>
      <c r="BS46" s="406"/>
      <c r="BT46" s="406"/>
      <c r="BU46" s="406"/>
    </row>
    <row r="47" spans="2:73" s="404" customFormat="1" ht="12" customHeight="1">
      <c r="B47" s="405"/>
      <c r="C47" s="286"/>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86"/>
      <c r="AH47" s="286"/>
      <c r="AI47" s="286"/>
      <c r="AJ47" s="286"/>
      <c r="AK47" s="286"/>
      <c r="AL47" s="286"/>
      <c r="AM47" s="286"/>
      <c r="AN47" s="286"/>
      <c r="AO47" s="286"/>
      <c r="AP47" s="286"/>
      <c r="AQ47" s="286"/>
      <c r="AR47" s="286"/>
      <c r="AS47" s="286"/>
      <c r="AT47" s="286"/>
      <c r="AU47" s="286"/>
      <c r="AV47" s="286"/>
      <c r="AW47" s="286"/>
      <c r="AX47" s="286"/>
      <c r="AY47" s="286"/>
      <c r="AZ47" s="286"/>
      <c r="BA47" s="286"/>
      <c r="BB47" s="286"/>
      <c r="BC47" s="286"/>
      <c r="BD47" s="286"/>
      <c r="BE47" s="286"/>
      <c r="BF47" s="286"/>
      <c r="BG47" s="286"/>
      <c r="BH47" s="286"/>
      <c r="BI47" s="406"/>
      <c r="BJ47" s="406"/>
      <c r="BK47" s="406"/>
      <c r="BL47" s="406"/>
      <c r="BM47" s="406"/>
      <c r="BN47" s="406"/>
      <c r="BO47" s="406"/>
      <c r="BP47" s="406"/>
      <c r="BQ47" s="406"/>
      <c r="BR47" s="406"/>
      <c r="BS47" s="406"/>
      <c r="BT47" s="406"/>
      <c r="BU47" s="406"/>
    </row>
    <row r="48" spans="2:73" s="404" customFormat="1" ht="12" customHeight="1">
      <c r="B48" s="408" t="s">
        <v>273</v>
      </c>
      <c r="C48" s="289"/>
      <c r="D48" s="286"/>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6"/>
      <c r="AI48" s="286"/>
      <c r="AJ48" s="286"/>
      <c r="AK48" s="286"/>
      <c r="AL48" s="286"/>
      <c r="AM48" s="286"/>
      <c r="AN48" s="286"/>
      <c r="AO48" s="286"/>
      <c r="AP48" s="286"/>
      <c r="AQ48" s="286"/>
      <c r="AR48" s="286"/>
      <c r="AS48" s="286"/>
      <c r="AT48" s="286"/>
      <c r="AU48" s="286"/>
      <c r="AV48" s="286"/>
      <c r="AW48" s="286"/>
      <c r="AX48" s="286"/>
      <c r="AY48" s="286"/>
      <c r="AZ48" s="286"/>
      <c r="BA48" s="286"/>
      <c r="BB48" s="286"/>
      <c r="BC48" s="286"/>
      <c r="BD48" s="286"/>
      <c r="BE48" s="286"/>
      <c r="BF48" s="286"/>
      <c r="BG48" s="286"/>
      <c r="BH48" s="286"/>
      <c r="BI48" s="406"/>
      <c r="BJ48" s="406"/>
      <c r="BK48" s="406"/>
      <c r="BL48" s="406"/>
      <c r="BM48" s="406"/>
      <c r="BN48" s="406"/>
      <c r="BO48" s="406"/>
      <c r="BP48" s="406"/>
      <c r="BQ48" s="406"/>
      <c r="BR48" s="406"/>
      <c r="BS48" s="406"/>
      <c r="BT48" s="406"/>
      <c r="BU48" s="406"/>
    </row>
    <row r="49" spans="2:73" s="404" customFormat="1" ht="12" customHeight="1">
      <c r="B49" s="405" t="s">
        <v>453</v>
      </c>
      <c r="D49" s="394">
        <f>SUM($D$8:D8)*SUM($C$31:$C$35)*(1-$C$27)*(1-'ERR &amp; Sensitivity Analysis'!$D$13)/1000</f>
        <v>0</v>
      </c>
      <c r="E49" s="394">
        <f>SUM($D$8:E8)*SUM($C$31:$C$35)*(1-$C$27)*(1-'ERR &amp; Sensitivity Analysis'!$D$13)/1000</f>
        <v>45.405386219549996</v>
      </c>
      <c r="F49" s="394">
        <f>SUM($D$8:F8)*SUM($C$31:$C$35)*(1-$C$27)*(1-'ERR &amp; Sensitivity Analysis'!$D$13)/1000</f>
        <v>195.6644478327</v>
      </c>
      <c r="G49" s="394">
        <f>SUM($D$8:G8)*SUM($C$31:$C$35)*(1-$C$27)*(1-'ERR &amp; Sensitivity Analysis'!$D$13)/1000</f>
        <v>400.03549549719</v>
      </c>
      <c r="H49" s="394">
        <f>SUM($D$8:H8)*SUM($C$31:$C$35)*(1-$C$27)*(1-'ERR &amp; Sensitivity Analysis'!$D$13)/1000</f>
        <v>554.97552476184</v>
      </c>
      <c r="I49" s="394">
        <f>SUM($D$8:I8)*SUM($C$31:$C$35)*(1-$C$27)*(1-'ERR &amp; Sensitivity Analysis'!$D$13)/1000</f>
        <v>554.97552476184</v>
      </c>
      <c r="J49" s="394">
        <f>SUM($D$8:J8)*SUM($C$31:$C$35)*(1-$C$27)*(1-'ERR &amp; Sensitivity Analysis'!$D$13)/1000</f>
        <v>554.97552476184</v>
      </c>
      <c r="K49" s="394">
        <f>SUM($D$8:K8)*SUM($C$31:$C$35)*(1-$C$27)*(1-'ERR &amp; Sensitivity Analysis'!$D$13)/1000</f>
        <v>554.97552476184</v>
      </c>
      <c r="L49" s="394">
        <f>SUM($D$8:L8)*SUM($C$31:$C$35)*(1-$C$27)*(1-'ERR &amp; Sensitivity Analysis'!$D$13)/1000</f>
        <v>554.97552476184</v>
      </c>
      <c r="M49" s="394">
        <f>SUM($D$8:M8)*SUM($C$31:$C$35)*(1-$C$27)*(1-'ERR &amp; Sensitivity Analysis'!$D$13)/1000</f>
        <v>554.97552476184</v>
      </c>
      <c r="N49" s="394">
        <f>SUM($D$8:N8)*SUM($C$31:$C$35)*(1-$C$27)*(1-'ERR &amp; Sensitivity Analysis'!$D$13)/1000</f>
        <v>554.97552476184</v>
      </c>
      <c r="O49" s="394">
        <f>SUM($D$8:O8)*SUM($C$31:$C$35)*(1-$C$27)*(1-'ERR &amp; Sensitivity Analysis'!$D$13)/1000</f>
        <v>554.97552476184</v>
      </c>
      <c r="P49" s="394">
        <f>SUM($D$8:P8)*SUM($C$31:$C$35)*(1-$C$27)*(1-'ERR &amp; Sensitivity Analysis'!$D$13)/1000</f>
        <v>554.97552476184</v>
      </c>
      <c r="Q49" s="394">
        <f>SUM($D$8:Q8)*SUM($C$31:$C$35)*(1-$C$27)*(1-'ERR &amp; Sensitivity Analysis'!$D$13)/1000</f>
        <v>554.97552476184</v>
      </c>
      <c r="R49" s="394">
        <f>SUM($D$8:R8)*SUM($C$31:$C$35)*(1-$C$27)*(1-'ERR &amp; Sensitivity Analysis'!$D$13)/1000</f>
        <v>554.97552476184</v>
      </c>
      <c r="S49" s="394">
        <f>SUM($D$8:S8)*SUM($C$31:$C$35)*(1-$C$27)*(1-'ERR &amp; Sensitivity Analysis'!$D$13)/1000</f>
        <v>554.97552476184</v>
      </c>
      <c r="T49" s="394">
        <f>SUM($D$8:T8)*SUM($C$31:$C$35)*(1-$C$27)*(1-'ERR &amp; Sensitivity Analysis'!$D$13)/1000</f>
        <v>554.97552476184</v>
      </c>
      <c r="U49" s="394">
        <f>SUM($D$8:U8)*SUM($C$31:$C$35)*(1-$C$27)*(1-'ERR &amp; Sensitivity Analysis'!$D$13)/1000</f>
        <v>554.97552476184</v>
      </c>
      <c r="V49" s="394">
        <f>SUM($D$8:V8)*SUM($C$31:$C$35)*(1-$C$27)*(1-'ERR &amp; Sensitivity Analysis'!$D$13)/1000</f>
        <v>554.97552476184</v>
      </c>
      <c r="W49" s="394">
        <f>SUM($D$8:W8)*SUM($C$31:$C$35)*(1-$C$27)*(1-'ERR &amp; Sensitivity Analysis'!$D$13)/1000</f>
        <v>554.97552476184</v>
      </c>
      <c r="X49" s="394">
        <f>SUM($D$8:X8)*SUM($C$31:$C$35)*(1-$C$27)*(1-'ERR &amp; Sensitivity Analysis'!$D$13)/1000</f>
        <v>554.97552476184</v>
      </c>
      <c r="Y49" s="394">
        <f>SUM($D$8:Y8)*SUM($C$31:$C$35)*(1-$C$27)*(1-'ERR &amp; Sensitivity Analysis'!$D$13)/1000</f>
        <v>554.97552476184</v>
      </c>
      <c r="Z49" s="394">
        <f>SUM($D$8:Z8)*SUM($C$31:$C$35)*(1-$C$27)*(1-'ERR &amp; Sensitivity Analysis'!$D$13)/1000</f>
        <v>554.97552476184</v>
      </c>
      <c r="AA49" s="394">
        <f>SUM($D$8:AA8)*SUM($C$31:$C$35)*(1-$C$27)*(1-'ERR &amp; Sensitivity Analysis'!$D$13)/1000</f>
        <v>554.97552476184</v>
      </c>
      <c r="AB49" s="394">
        <f>SUM($D$8:AB8)*SUM($C$31:$C$35)*(1-$C$27)*(1-'ERR &amp; Sensitivity Analysis'!$D$13)/1000</f>
        <v>554.97552476184</v>
      </c>
      <c r="AC49" s="394">
        <f>SUM($D$8:AC8)*SUM($C$31:$C$35)*(1-$C$27)*(1-'ERR &amp; Sensitivity Analysis'!$D$13)/1000</f>
        <v>554.97552476184</v>
      </c>
      <c r="AD49" s="394">
        <f>SUM($D$8:AD8)*SUM($C$31:$C$35)*(1-$C$27)*(1-'ERR &amp; Sensitivity Analysis'!$D$13)/1000</f>
        <v>554.97552476184</v>
      </c>
      <c r="AE49" s="394">
        <f>SUM($D$8:AE8)*SUM($C$31:$C$35)*(1-$C$27)*(1-'ERR &amp; Sensitivity Analysis'!$D$13)/1000</f>
        <v>554.97552476184</v>
      </c>
      <c r="AF49" s="394">
        <f>SUM($D$8:AF8)*SUM($C$31:$C$35)*(1-$C$27)*(1-'ERR &amp; Sensitivity Analysis'!$D$13)/1000</f>
        <v>554.97552476184</v>
      </c>
      <c r="AG49" s="394">
        <f>SUM($D$8:AG8)*SUM($C$31:$C$35)*(1-$C$27)*(1-'ERR &amp; Sensitivity Analysis'!$D$13)/1000</f>
        <v>554.97552476184</v>
      </c>
      <c r="AH49" s="394">
        <f>SUM($D$8:AH8)*SUM($C$31:$C$35)*(1-$C$27)*(1-'ERR &amp; Sensitivity Analysis'!$D$13)/1000</f>
        <v>554.97552476184</v>
      </c>
      <c r="AI49" s="394">
        <f>SUM($D$8:AI8)*SUM($C$31:$C$35)*(1-$C$27)*(1-'ERR &amp; Sensitivity Analysis'!$D$13)/1000</f>
        <v>554.97552476184</v>
      </c>
      <c r="AJ49" s="394">
        <f>SUM($D$8:AJ8)*SUM($C$31:$C$35)*(1-$C$27)*(1-'ERR &amp; Sensitivity Analysis'!$D$13)/1000</f>
        <v>554.97552476184</v>
      </c>
      <c r="AK49" s="394">
        <f>SUM($D$8:AK8)*SUM($C$31:$C$35)*(1-$C$27)*(1-'ERR &amp; Sensitivity Analysis'!$D$13)/1000</f>
        <v>554.97552476184</v>
      </c>
      <c r="AL49" s="394">
        <f>SUM($D$8:AL8)*SUM($C$31:$C$35)*(1-$C$27)*(1-'ERR &amp; Sensitivity Analysis'!$D$13)/1000</f>
        <v>554.97552476184</v>
      </c>
      <c r="AM49" s="394">
        <f>SUM($D$8:AM8)*SUM($C$31:$C$35)*(1-$C$27)*(1-'ERR &amp; Sensitivity Analysis'!$D$13)/1000</f>
        <v>554.97552476184</v>
      </c>
      <c r="AN49" s="394">
        <f>SUM($D$8:AN8)*SUM($C$31:$C$35)*(1-$C$27)*(1-'ERR &amp; Sensitivity Analysis'!$D$13)/1000</f>
        <v>554.97552476184</v>
      </c>
      <c r="AO49" s="394">
        <f>SUM($D$8:AO8)*SUM($C$31:$C$35)*(1-$C$27)*(1-'ERR &amp; Sensitivity Analysis'!$D$13)/1000</f>
        <v>554.97552476184</v>
      </c>
      <c r="AP49" s="394">
        <f>SUM($D$8:AP8)*SUM($C$31:$C$35)*(1-$C$27)*(1-'ERR &amp; Sensitivity Analysis'!$D$13)/1000</f>
        <v>554.97552476184</v>
      </c>
      <c r="AQ49" s="394">
        <f>SUM($D$8:AQ8)*SUM($C$31:$C$35)*(1-$C$27)*(1-'ERR &amp; Sensitivity Analysis'!$D$13)/1000</f>
        <v>554.97552476184</v>
      </c>
      <c r="AR49" s="394">
        <f>SUM($D$8:AR8)*SUM($C$31:$C$35)*(1-$C$27)*(1-'ERR &amp; Sensitivity Analysis'!$D$13)/1000</f>
        <v>554.97552476184</v>
      </c>
      <c r="AS49" s="394">
        <f>SUM($D$8:AS8)*SUM($C$31:$C$35)*(1-$C$27)*(1-'ERR &amp; Sensitivity Analysis'!$D$13)/1000</f>
        <v>554.97552476184</v>
      </c>
      <c r="AT49" s="394">
        <f>SUM($D$8:AT8)*SUM($C$31:$C$35)*(1-$C$27)*(1-'ERR &amp; Sensitivity Analysis'!$D$13)/1000</f>
        <v>554.97552476184</v>
      </c>
      <c r="AU49" s="394">
        <f>SUM($D$8:AU8)*SUM($C$31:$C$35)*(1-$C$27)*(1-'ERR &amp; Sensitivity Analysis'!$D$13)/1000</f>
        <v>554.97552476184</v>
      </c>
      <c r="AV49" s="394">
        <f>SUM($D$8:AV8)*SUM($C$31:$C$35)*(1-$C$27)*(1-'ERR &amp; Sensitivity Analysis'!$D$13)/1000</f>
        <v>554.97552476184</v>
      </c>
      <c r="AW49" s="394">
        <f>SUM($D$8:AW8)*SUM($C$31:$C$35)*(1-$C$27)*(1-'ERR &amp; Sensitivity Analysis'!$D$13)/1000</f>
        <v>554.97552476184</v>
      </c>
      <c r="AX49" s="394">
        <f>SUM($D$8:AX8)*SUM($C$31:$C$35)*(1-$C$27)*(1-'ERR &amp; Sensitivity Analysis'!$D$13)/1000</f>
        <v>554.97552476184</v>
      </c>
      <c r="AY49" s="394">
        <f>SUM($D$8:AY8)*SUM($C$31:$C$35)*(1-$C$27)*(1-'ERR &amp; Sensitivity Analysis'!$D$13)/1000</f>
        <v>554.97552476184</v>
      </c>
      <c r="AZ49" s="394">
        <f>SUM($D$8:AZ8)*SUM($C$31:$C$35)*(1-$C$27)*(1-'ERR &amp; Sensitivity Analysis'!$D$13)/1000</f>
        <v>554.97552476184</v>
      </c>
      <c r="BA49" s="394">
        <f>SUM($D$8:BA8)*SUM($C$31:$C$35)*(1-$C$27)*(1-'ERR &amp; Sensitivity Analysis'!$D$13)/1000</f>
        <v>554.97552476184</v>
      </c>
      <c r="BB49" s="394">
        <f>SUM($D$8:BB8)*SUM($C$31:$C$35)*(1-$C$27)*(1-'ERR &amp; Sensitivity Analysis'!$D$13)/1000</f>
        <v>554.97552476184</v>
      </c>
      <c r="BC49" s="394">
        <f>SUM($D$8:BC8)*SUM($C$31:$C$35)*(1-$C$27)*(1-'ERR &amp; Sensitivity Analysis'!$D$13)/1000</f>
        <v>554.97552476184</v>
      </c>
      <c r="BD49" s="394">
        <f>SUM($D$8:BD8)*SUM($C$31:$C$35)*(1-$C$27)*(1-'ERR &amp; Sensitivity Analysis'!$D$13)/1000</f>
        <v>554.97552476184</v>
      </c>
      <c r="BE49" s="394">
        <f>SUM($D$8:BE8)*SUM($C$31:$C$35)*(1-$C$27)*(1-'ERR &amp; Sensitivity Analysis'!$D$13)/1000</f>
        <v>554.97552476184</v>
      </c>
      <c r="BF49" s="394">
        <f>SUM($D$8:BF8)*SUM($C$31:$C$35)*(1-$C$27)*(1-'ERR &amp; Sensitivity Analysis'!$D$13)/1000</f>
        <v>554.97552476184</v>
      </c>
      <c r="BG49" s="394">
        <f>SUM($D$8:BG8)*SUM($C$31:$C$35)*(1-$C$27)*(1-'ERR &amp; Sensitivity Analysis'!$D$13)/1000</f>
        <v>554.97552476184</v>
      </c>
      <c r="BH49" s="394">
        <f>SUM($D$8:BH8)*SUM($C$31:$C$35)*(1-$C$27)*(1-'ERR &amp; Sensitivity Analysis'!$D$13)/1000</f>
        <v>554.97552476184</v>
      </c>
      <c r="BI49" s="406"/>
      <c r="BJ49" s="406"/>
      <c r="BK49" s="406"/>
      <c r="BL49" s="406"/>
      <c r="BM49" s="406"/>
      <c r="BN49" s="406"/>
      <c r="BO49" s="406"/>
      <c r="BP49" s="406"/>
      <c r="BQ49" s="406"/>
      <c r="BR49" s="406"/>
      <c r="BS49" s="406"/>
      <c r="BT49" s="406"/>
      <c r="BU49" s="406"/>
    </row>
    <row r="50" spans="2:73" s="404" customFormat="1" ht="12" customHeight="1">
      <c r="B50" s="407" t="s">
        <v>274</v>
      </c>
      <c r="C50" s="286">
        <f>NPV(0.1,D50:BH50)</f>
        <v>4224.057843518502</v>
      </c>
      <c r="D50" s="286">
        <f aca="true" t="shared" si="2" ref="D50:AI50">D49*$L$59</f>
        <v>0</v>
      </c>
      <c r="E50" s="286">
        <f t="shared" si="2"/>
        <v>45.405386219549996</v>
      </c>
      <c r="F50" s="503">
        <f>F49*$L$59</f>
        <v>195.6644478327</v>
      </c>
      <c r="G50" s="286">
        <f t="shared" si="2"/>
        <v>400.03549549719</v>
      </c>
      <c r="H50" s="286">
        <f t="shared" si="2"/>
        <v>554.97552476184</v>
      </c>
      <c r="I50" s="286">
        <f t="shared" si="2"/>
        <v>554.97552476184</v>
      </c>
      <c r="J50" s="286">
        <f t="shared" si="2"/>
        <v>554.97552476184</v>
      </c>
      <c r="K50" s="286">
        <f t="shared" si="2"/>
        <v>554.97552476184</v>
      </c>
      <c r="L50" s="286">
        <f t="shared" si="2"/>
        <v>554.97552476184</v>
      </c>
      <c r="M50" s="286">
        <f t="shared" si="2"/>
        <v>554.97552476184</v>
      </c>
      <c r="N50" s="286">
        <f t="shared" si="2"/>
        <v>554.97552476184</v>
      </c>
      <c r="O50" s="286">
        <f t="shared" si="2"/>
        <v>554.97552476184</v>
      </c>
      <c r="P50" s="286">
        <f t="shared" si="2"/>
        <v>554.97552476184</v>
      </c>
      <c r="Q50" s="286">
        <f t="shared" si="2"/>
        <v>554.97552476184</v>
      </c>
      <c r="R50" s="286">
        <f t="shared" si="2"/>
        <v>554.97552476184</v>
      </c>
      <c r="S50" s="286">
        <f t="shared" si="2"/>
        <v>554.97552476184</v>
      </c>
      <c r="T50" s="286">
        <f t="shared" si="2"/>
        <v>554.97552476184</v>
      </c>
      <c r="U50" s="286">
        <f t="shared" si="2"/>
        <v>554.97552476184</v>
      </c>
      <c r="V50" s="286">
        <f t="shared" si="2"/>
        <v>554.97552476184</v>
      </c>
      <c r="W50" s="286">
        <f t="shared" si="2"/>
        <v>554.97552476184</v>
      </c>
      <c r="X50" s="286">
        <f t="shared" si="2"/>
        <v>554.97552476184</v>
      </c>
      <c r="Y50" s="286">
        <f>Y49*$L$59</f>
        <v>554.97552476184</v>
      </c>
      <c r="Z50" s="286">
        <f>Z49*$L$59</f>
        <v>554.97552476184</v>
      </c>
      <c r="AA50" s="286">
        <f>AA49*$L$59</f>
        <v>554.97552476184</v>
      </c>
      <c r="AB50" s="286">
        <f>AB49*$L$59</f>
        <v>554.97552476184</v>
      </c>
      <c r="AC50" s="286">
        <f>AC49*$L$59</f>
        <v>554.97552476184</v>
      </c>
      <c r="AD50" s="286">
        <f t="shared" si="2"/>
        <v>554.97552476184</v>
      </c>
      <c r="AE50" s="286">
        <f t="shared" si="2"/>
        <v>554.97552476184</v>
      </c>
      <c r="AF50" s="286">
        <f t="shared" si="2"/>
        <v>554.97552476184</v>
      </c>
      <c r="AG50" s="286">
        <f t="shared" si="2"/>
        <v>554.97552476184</v>
      </c>
      <c r="AH50" s="286">
        <f t="shared" si="2"/>
        <v>554.97552476184</v>
      </c>
      <c r="AI50" s="286">
        <f t="shared" si="2"/>
        <v>554.97552476184</v>
      </c>
      <c r="AJ50" s="286">
        <f aca="true" t="shared" si="3" ref="AJ50:BH50">AJ49*$L$59</f>
        <v>554.97552476184</v>
      </c>
      <c r="AK50" s="286">
        <f t="shared" si="3"/>
        <v>554.97552476184</v>
      </c>
      <c r="AL50" s="286">
        <f t="shared" si="3"/>
        <v>554.97552476184</v>
      </c>
      <c r="AM50" s="286">
        <f t="shared" si="3"/>
        <v>554.97552476184</v>
      </c>
      <c r="AN50" s="286">
        <f t="shared" si="3"/>
        <v>554.97552476184</v>
      </c>
      <c r="AO50" s="286">
        <f t="shared" si="3"/>
        <v>554.97552476184</v>
      </c>
      <c r="AP50" s="286">
        <f t="shared" si="3"/>
        <v>554.97552476184</v>
      </c>
      <c r="AQ50" s="286">
        <f t="shared" si="3"/>
        <v>554.97552476184</v>
      </c>
      <c r="AR50" s="286">
        <f t="shared" si="3"/>
        <v>554.97552476184</v>
      </c>
      <c r="AS50" s="286">
        <f t="shared" si="3"/>
        <v>554.97552476184</v>
      </c>
      <c r="AT50" s="286">
        <f t="shared" si="3"/>
        <v>554.97552476184</v>
      </c>
      <c r="AU50" s="286">
        <f t="shared" si="3"/>
        <v>554.97552476184</v>
      </c>
      <c r="AV50" s="286">
        <f t="shared" si="3"/>
        <v>554.97552476184</v>
      </c>
      <c r="AW50" s="286">
        <f t="shared" si="3"/>
        <v>554.97552476184</v>
      </c>
      <c r="AX50" s="286">
        <f t="shared" si="3"/>
        <v>554.97552476184</v>
      </c>
      <c r="AY50" s="286">
        <f t="shared" si="3"/>
        <v>554.97552476184</v>
      </c>
      <c r="AZ50" s="286">
        <f t="shared" si="3"/>
        <v>554.97552476184</v>
      </c>
      <c r="BA50" s="286">
        <f t="shared" si="3"/>
        <v>554.97552476184</v>
      </c>
      <c r="BB50" s="286">
        <f t="shared" si="3"/>
        <v>554.97552476184</v>
      </c>
      <c r="BC50" s="286">
        <f t="shared" si="3"/>
        <v>554.97552476184</v>
      </c>
      <c r="BD50" s="286">
        <f t="shared" si="3"/>
        <v>554.97552476184</v>
      </c>
      <c r="BE50" s="286">
        <f t="shared" si="3"/>
        <v>554.97552476184</v>
      </c>
      <c r="BF50" s="286">
        <f t="shared" si="3"/>
        <v>554.97552476184</v>
      </c>
      <c r="BG50" s="286">
        <f t="shared" si="3"/>
        <v>554.97552476184</v>
      </c>
      <c r="BH50" s="286">
        <f t="shared" si="3"/>
        <v>554.97552476184</v>
      </c>
      <c r="BI50" s="406"/>
      <c r="BJ50" s="406"/>
      <c r="BK50" s="406"/>
      <c r="BL50" s="406"/>
      <c r="BM50" s="406"/>
      <c r="BN50" s="406"/>
      <c r="BO50" s="406"/>
      <c r="BP50" s="406"/>
      <c r="BQ50" s="406"/>
      <c r="BR50" s="406"/>
      <c r="BS50" s="406"/>
      <c r="BT50" s="406"/>
      <c r="BU50" s="406"/>
    </row>
    <row r="51" spans="2:73" s="404" customFormat="1" ht="12" customHeight="1">
      <c r="B51" s="405"/>
      <c r="C51" s="286"/>
      <c r="D51" s="286"/>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6"/>
      <c r="AE51" s="286"/>
      <c r="AF51" s="286"/>
      <c r="AG51" s="286"/>
      <c r="AH51" s="286"/>
      <c r="AI51" s="286"/>
      <c r="AJ51" s="286"/>
      <c r="AK51" s="286"/>
      <c r="AL51" s="286"/>
      <c r="AM51" s="286"/>
      <c r="AN51" s="286"/>
      <c r="AO51" s="286"/>
      <c r="AP51" s="286"/>
      <c r="AQ51" s="286"/>
      <c r="AR51" s="286"/>
      <c r="AS51" s="286"/>
      <c r="AT51" s="286"/>
      <c r="AU51" s="286"/>
      <c r="AV51" s="286"/>
      <c r="AW51" s="286"/>
      <c r="AX51" s="286"/>
      <c r="AY51" s="286"/>
      <c r="AZ51" s="286"/>
      <c r="BA51" s="286"/>
      <c r="BB51" s="286"/>
      <c r="BC51" s="286"/>
      <c r="BD51" s="286"/>
      <c r="BE51" s="286"/>
      <c r="BF51" s="286"/>
      <c r="BG51" s="286"/>
      <c r="BH51" s="286"/>
      <c r="BI51" s="406"/>
      <c r="BJ51" s="406"/>
      <c r="BK51" s="406"/>
      <c r="BL51" s="406"/>
      <c r="BM51" s="406"/>
      <c r="BN51" s="406"/>
      <c r="BO51" s="406"/>
      <c r="BP51" s="406"/>
      <c r="BQ51" s="406"/>
      <c r="BR51" s="406"/>
      <c r="BS51" s="406"/>
      <c r="BT51" s="406"/>
      <c r="BU51" s="406"/>
    </row>
    <row r="52" spans="2:73" s="404" customFormat="1" ht="12" customHeight="1">
      <c r="B52" s="407" t="s">
        <v>275</v>
      </c>
      <c r="C52" s="289">
        <f>NPV(0.1,D52:BH52)</f>
        <v>1148.7381547826215</v>
      </c>
      <c r="D52" s="286">
        <f>D50-D46</f>
        <v>0</v>
      </c>
      <c r="E52" s="286">
        <f aca="true" t="shared" si="4" ref="E52:BH52">E50-E46</f>
        <v>-314.40149457891573</v>
      </c>
      <c r="F52" s="286">
        <f t="shared" si="4"/>
        <v>-1198.3858587763848</v>
      </c>
      <c r="G52" s="286">
        <f t="shared" si="4"/>
        <v>-892.3531013789826</v>
      </c>
      <c r="H52" s="286">
        <f t="shared" si="4"/>
        <v>-810.5263012406456</v>
      </c>
      <c r="I52" s="286">
        <f t="shared" si="4"/>
        <v>554.97552476184</v>
      </c>
      <c r="J52" s="286">
        <f t="shared" si="4"/>
        <v>554.97552476184</v>
      </c>
      <c r="K52" s="286">
        <f t="shared" si="4"/>
        <v>554.97552476184</v>
      </c>
      <c r="L52" s="286">
        <f t="shared" si="4"/>
        <v>554.97552476184</v>
      </c>
      <c r="M52" s="286">
        <f t="shared" si="4"/>
        <v>554.97552476184</v>
      </c>
      <c r="N52" s="286">
        <f t="shared" si="4"/>
        <v>554.97552476184</v>
      </c>
      <c r="O52" s="286">
        <f t="shared" si="4"/>
        <v>554.97552476184</v>
      </c>
      <c r="P52" s="286">
        <f t="shared" si="4"/>
        <v>554.97552476184</v>
      </c>
      <c r="Q52" s="286">
        <f t="shared" si="4"/>
        <v>554.97552476184</v>
      </c>
      <c r="R52" s="286">
        <f t="shared" si="4"/>
        <v>554.97552476184</v>
      </c>
      <c r="S52" s="286">
        <f t="shared" si="4"/>
        <v>554.97552476184</v>
      </c>
      <c r="T52" s="286">
        <f t="shared" si="4"/>
        <v>554.97552476184</v>
      </c>
      <c r="U52" s="286">
        <f t="shared" si="4"/>
        <v>554.97552476184</v>
      </c>
      <c r="V52" s="286">
        <f t="shared" si="4"/>
        <v>554.97552476184</v>
      </c>
      <c r="W52" s="286">
        <f t="shared" si="4"/>
        <v>554.97552476184</v>
      </c>
      <c r="X52" s="286">
        <f t="shared" si="4"/>
        <v>554.97552476184</v>
      </c>
      <c r="Y52" s="286">
        <f t="shared" si="4"/>
        <v>554.97552476184</v>
      </c>
      <c r="Z52" s="286">
        <f t="shared" si="4"/>
        <v>554.97552476184</v>
      </c>
      <c r="AA52" s="286">
        <f t="shared" si="4"/>
        <v>554.97552476184</v>
      </c>
      <c r="AB52" s="286">
        <f t="shared" si="4"/>
        <v>554.97552476184</v>
      </c>
      <c r="AC52" s="286">
        <f t="shared" si="4"/>
        <v>554.97552476184</v>
      </c>
      <c r="AD52" s="286">
        <f t="shared" si="4"/>
        <v>554.97552476184</v>
      </c>
      <c r="AE52" s="286">
        <f t="shared" si="4"/>
        <v>554.97552476184</v>
      </c>
      <c r="AF52" s="286">
        <f t="shared" si="4"/>
        <v>554.97552476184</v>
      </c>
      <c r="AG52" s="286">
        <f t="shared" si="4"/>
        <v>554.97552476184</v>
      </c>
      <c r="AH52" s="286">
        <f t="shared" si="4"/>
        <v>554.97552476184</v>
      </c>
      <c r="AI52" s="286">
        <f t="shared" si="4"/>
        <v>554.97552476184</v>
      </c>
      <c r="AJ52" s="286">
        <f t="shared" si="4"/>
        <v>554.97552476184</v>
      </c>
      <c r="AK52" s="286">
        <f t="shared" si="4"/>
        <v>554.97552476184</v>
      </c>
      <c r="AL52" s="286">
        <f t="shared" si="4"/>
        <v>554.97552476184</v>
      </c>
      <c r="AM52" s="286">
        <f t="shared" si="4"/>
        <v>554.97552476184</v>
      </c>
      <c r="AN52" s="286">
        <f t="shared" si="4"/>
        <v>554.97552476184</v>
      </c>
      <c r="AO52" s="286">
        <f t="shared" si="4"/>
        <v>554.97552476184</v>
      </c>
      <c r="AP52" s="286">
        <f t="shared" si="4"/>
        <v>554.97552476184</v>
      </c>
      <c r="AQ52" s="286">
        <f t="shared" si="4"/>
        <v>554.97552476184</v>
      </c>
      <c r="AR52" s="286">
        <f t="shared" si="4"/>
        <v>554.97552476184</v>
      </c>
      <c r="AS52" s="286">
        <f t="shared" si="4"/>
        <v>554.97552476184</v>
      </c>
      <c r="AT52" s="286">
        <f t="shared" si="4"/>
        <v>554.97552476184</v>
      </c>
      <c r="AU52" s="286">
        <f t="shared" si="4"/>
        <v>554.97552476184</v>
      </c>
      <c r="AV52" s="286">
        <f t="shared" si="4"/>
        <v>554.97552476184</v>
      </c>
      <c r="AW52" s="286">
        <f t="shared" si="4"/>
        <v>554.97552476184</v>
      </c>
      <c r="AX52" s="286">
        <f t="shared" si="4"/>
        <v>554.97552476184</v>
      </c>
      <c r="AY52" s="286">
        <f t="shared" si="4"/>
        <v>554.97552476184</v>
      </c>
      <c r="AZ52" s="286">
        <f t="shared" si="4"/>
        <v>554.97552476184</v>
      </c>
      <c r="BA52" s="286">
        <f t="shared" si="4"/>
        <v>554.97552476184</v>
      </c>
      <c r="BB52" s="286">
        <f t="shared" si="4"/>
        <v>554.97552476184</v>
      </c>
      <c r="BC52" s="286">
        <f t="shared" si="4"/>
        <v>554.97552476184</v>
      </c>
      <c r="BD52" s="286">
        <f t="shared" si="4"/>
        <v>554.97552476184</v>
      </c>
      <c r="BE52" s="286">
        <f t="shared" si="4"/>
        <v>554.97552476184</v>
      </c>
      <c r="BF52" s="286">
        <f t="shared" si="4"/>
        <v>554.97552476184</v>
      </c>
      <c r="BG52" s="286">
        <f t="shared" si="4"/>
        <v>554.97552476184</v>
      </c>
      <c r="BH52" s="286">
        <f t="shared" si="4"/>
        <v>554.97552476184</v>
      </c>
      <c r="BI52" s="406"/>
      <c r="BJ52" s="406"/>
      <c r="BK52" s="406"/>
      <c r="BL52" s="406"/>
      <c r="BM52" s="406"/>
      <c r="BN52" s="406"/>
      <c r="BO52" s="406"/>
      <c r="BP52" s="406"/>
      <c r="BQ52" s="406"/>
      <c r="BR52" s="406"/>
      <c r="BS52" s="406"/>
      <c r="BT52" s="406"/>
      <c r="BU52" s="406"/>
    </row>
    <row r="53" spans="2:60" ht="12" customHeight="1">
      <c r="B53" s="85"/>
      <c r="C53" s="87"/>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291"/>
      <c r="AL53" s="291"/>
      <c r="AM53" s="291"/>
      <c r="AN53" s="291"/>
      <c r="AO53" s="291"/>
      <c r="AP53" s="291"/>
      <c r="AQ53" s="291"/>
      <c r="AR53" s="291"/>
      <c r="AS53" s="291"/>
      <c r="AT53" s="291"/>
      <c r="AU53" s="291"/>
      <c r="AV53" s="291"/>
      <c r="AW53" s="291"/>
      <c r="AX53" s="291"/>
      <c r="AY53" s="291"/>
      <c r="AZ53" s="291"/>
      <c r="BA53" s="291"/>
      <c r="BB53" s="291"/>
      <c r="BC53" s="291"/>
      <c r="BD53" s="291"/>
      <c r="BE53" s="291"/>
      <c r="BF53" s="291"/>
      <c r="BG53" s="291"/>
      <c r="BH53" s="291"/>
    </row>
    <row r="54" spans="2:60" ht="12" customHeight="1">
      <c r="B54" s="85"/>
      <c r="C54" s="87"/>
      <c r="D54" s="87"/>
      <c r="E54" s="104"/>
      <c r="F54" s="87"/>
      <c r="G54" s="105"/>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row>
    <row r="55" spans="2:60" ht="12" customHeight="1">
      <c r="B55" s="87"/>
      <c r="C55" s="106"/>
      <c r="D55" s="107"/>
      <c r="E55" s="104"/>
      <c r="F55" s="87"/>
      <c r="G55" s="127" t="s">
        <v>300</v>
      </c>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row>
    <row r="56" spans="2:60" ht="12" customHeight="1">
      <c r="B56" s="400" t="s">
        <v>331</v>
      </c>
      <c r="C56" s="277">
        <f>IRR(D52:W52)</f>
        <v>0.1210030975800247</v>
      </c>
      <c r="D56" s="101"/>
      <c r="E56" s="87"/>
      <c r="F56" s="87"/>
      <c r="G56" s="126" t="s">
        <v>295</v>
      </c>
      <c r="H56" s="87"/>
      <c r="I56" s="87"/>
      <c r="J56" s="87"/>
      <c r="K56" s="87"/>
      <c r="L56" s="128">
        <f>'ERR &amp; Sensitivity Analysis'!G10</f>
        <v>1</v>
      </c>
      <c r="M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row>
    <row r="57" spans="2:60" ht="12" customHeight="1">
      <c r="B57" s="101"/>
      <c r="C57" s="108"/>
      <c r="D57" s="101"/>
      <c r="E57" s="87"/>
      <c r="F57" s="87"/>
      <c r="G57" s="87"/>
      <c r="H57" s="87"/>
      <c r="I57" s="87"/>
      <c r="J57" s="87"/>
      <c r="K57" s="87"/>
      <c r="L57" s="87"/>
      <c r="M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row>
    <row r="58" spans="2:60" ht="12" customHeight="1">
      <c r="B58" s="101"/>
      <c r="C58" s="301"/>
      <c r="D58" s="101"/>
      <c r="E58" s="87"/>
      <c r="F58" s="87"/>
      <c r="G58" s="127" t="s">
        <v>301</v>
      </c>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row>
    <row r="59" spans="7:12" ht="12" customHeight="1">
      <c r="G59" s="126" t="s">
        <v>296</v>
      </c>
      <c r="L59" s="128">
        <f>'ERR &amp; Sensitivity Analysis'!G11</f>
        <v>1</v>
      </c>
    </row>
    <row r="61" spans="2:8" ht="12" customHeight="1">
      <c r="B61" s="238"/>
      <c r="C61" s="239" t="s">
        <v>474</v>
      </c>
      <c r="D61" s="239" t="s">
        <v>475</v>
      </c>
      <c r="E61" s="240"/>
      <c r="F61" s="240"/>
      <c r="G61" s="240"/>
      <c r="H61" s="241"/>
    </row>
    <row r="62" spans="2:8" ht="12" customHeight="1">
      <c r="B62" s="242" t="s">
        <v>476</v>
      </c>
      <c r="C62" s="243">
        <f>386.4</f>
        <v>386.4</v>
      </c>
      <c r="D62" s="244">
        <v>87.66000000000001</v>
      </c>
      <c r="E62" s="381"/>
      <c r="F62" s="245"/>
      <c r="G62" s="245"/>
      <c r="H62" s="246"/>
    </row>
    <row r="63" spans="2:8" ht="12" customHeight="1">
      <c r="B63" s="242" t="s">
        <v>477</v>
      </c>
      <c r="C63" s="243">
        <f>+C62*12</f>
        <v>4636.799999999999</v>
      </c>
      <c r="D63" s="247">
        <f>+D62*12</f>
        <v>1051.92</v>
      </c>
      <c r="E63" s="245"/>
      <c r="F63" s="245"/>
      <c r="G63" s="245"/>
      <c r="H63" s="246"/>
    </row>
    <row r="64" spans="2:8" ht="12" customHeight="1">
      <c r="B64" s="242" t="s">
        <v>478</v>
      </c>
      <c r="C64" s="243">
        <f>+D64</f>
        <v>46.809676515</v>
      </c>
      <c r="D64" s="243">
        <f>+(W49*1000)/D65</f>
        <v>46.809676515</v>
      </c>
      <c r="E64" s="245"/>
      <c r="F64" s="245"/>
      <c r="G64" s="245"/>
      <c r="H64" s="246"/>
    </row>
    <row r="65" spans="2:8" ht="12" customHeight="1">
      <c r="B65" s="242" t="s">
        <v>479</v>
      </c>
      <c r="C65" s="248">
        <f>+D65</f>
        <v>11856</v>
      </c>
      <c r="D65" s="248">
        <f>+B75</f>
        <v>11856</v>
      </c>
      <c r="E65" s="245"/>
      <c r="F65" s="245"/>
      <c r="G65" s="245"/>
      <c r="H65" s="246"/>
    </row>
    <row r="66" spans="2:8" ht="12" customHeight="1">
      <c r="B66" s="242" t="s">
        <v>480</v>
      </c>
      <c r="C66" s="249">
        <f>+C64/C63</f>
        <v>0.01009525459692029</v>
      </c>
      <c r="D66" s="249">
        <f>+D64/D63</f>
        <v>0.04449927419860825</v>
      </c>
      <c r="E66" s="245"/>
      <c r="F66" s="245"/>
      <c r="G66" s="245"/>
      <c r="H66" s="246"/>
    </row>
    <row r="67" spans="2:8" ht="12" customHeight="1">
      <c r="B67" s="242" t="s">
        <v>481</v>
      </c>
      <c r="C67" s="250"/>
      <c r="D67" s="249">
        <f>+C75</f>
        <v>0.09926732118748208</v>
      </c>
      <c r="E67" s="249">
        <f>+G75</f>
        <v>0.09590464358323532</v>
      </c>
      <c r="F67" s="245"/>
      <c r="G67" s="245"/>
      <c r="H67" s="246"/>
    </row>
    <row r="68" spans="2:8" ht="12" customHeight="1">
      <c r="B68" s="242" t="s">
        <v>482</v>
      </c>
      <c r="C68" s="250"/>
      <c r="D68" s="249">
        <f>+D75</f>
        <v>0.36660822496514767</v>
      </c>
      <c r="E68" s="249">
        <f>+H75</f>
        <v>0.31840101457627656</v>
      </c>
      <c r="F68" s="245"/>
      <c r="G68" s="245"/>
      <c r="H68" s="246"/>
    </row>
    <row r="69" spans="2:8" ht="12" customHeight="1">
      <c r="B69" s="237"/>
      <c r="C69" s="236"/>
      <c r="D69" s="236"/>
      <c r="E69" s="245"/>
      <c r="F69" s="245"/>
      <c r="G69" s="245"/>
      <c r="H69" s="246"/>
    </row>
    <row r="70" spans="2:8" ht="12" customHeight="1">
      <c r="B70" s="237"/>
      <c r="C70" s="252" t="s">
        <v>369</v>
      </c>
      <c r="D70" s="252" t="s">
        <v>370</v>
      </c>
      <c r="E70" s="245"/>
      <c r="F70" s="252"/>
      <c r="G70" s="252" t="s">
        <v>369</v>
      </c>
      <c r="H70" s="253" t="s">
        <v>370</v>
      </c>
    </row>
    <row r="71" spans="2:8" ht="12" customHeight="1">
      <c r="B71" s="260">
        <f>+E8</f>
        <v>970</v>
      </c>
      <c r="C71" s="254">
        <f>+(1+$D$66)^4-1</f>
        <v>0.19023459760694883</v>
      </c>
      <c r="D71" s="254">
        <f>+(1+$D$66)^9-1</f>
        <v>0.4796986678095947</v>
      </c>
      <c r="E71" s="245"/>
      <c r="F71" s="255">
        <f>+B71</f>
        <v>970</v>
      </c>
      <c r="G71" s="254">
        <f>$D$66*4</f>
        <v>0.177997096794433</v>
      </c>
      <c r="H71" s="256">
        <f>$D$66*9</f>
        <v>0.4004934677874743</v>
      </c>
    </row>
    <row r="72" spans="2:8" ht="12" customHeight="1">
      <c r="B72" s="260">
        <f>+F8</f>
        <v>3210</v>
      </c>
      <c r="C72" s="254">
        <f>+(1+$D$66)^3-1</f>
        <v>0.1395264956216995</v>
      </c>
      <c r="D72" s="254">
        <f>+(1+$D$66)^8-1</f>
        <v>0.4166583973405753</v>
      </c>
      <c r="E72" s="245"/>
      <c r="F72" s="255">
        <f>+B72</f>
        <v>3210</v>
      </c>
      <c r="G72" s="254">
        <f>$D$66*3</f>
        <v>0.13349782259582477</v>
      </c>
      <c r="H72" s="256">
        <f>$D$66*8</f>
        <v>0.355994193588866</v>
      </c>
    </row>
    <row r="73" spans="2:8" ht="12" customHeight="1">
      <c r="B73" s="260">
        <f>+G8</f>
        <v>4366</v>
      </c>
      <c r="C73" s="254">
        <f>+(1+$D$66)^2-1</f>
        <v>0.09097873380141963</v>
      </c>
      <c r="D73" s="254">
        <f>+(1+$D$66)^7-1</f>
        <v>0.35630385997875</v>
      </c>
      <c r="E73" s="245"/>
      <c r="F73" s="255">
        <f>+B73</f>
        <v>4366</v>
      </c>
      <c r="G73" s="254">
        <f>$D$66*2</f>
        <v>0.0889985483972165</v>
      </c>
      <c r="H73" s="256">
        <f>$D$66*7</f>
        <v>0.31149491939025775</v>
      </c>
    </row>
    <row r="74" spans="2:8" ht="12" customHeight="1">
      <c r="B74" s="260">
        <f>+H8</f>
        <v>3310</v>
      </c>
      <c r="C74" s="254">
        <f>+(1+$D$66)^1-1</f>
        <v>0.04449927419860833</v>
      </c>
      <c r="D74" s="254">
        <f>+(1+$D$66)^6-1</f>
        <v>0.2985206342238713</v>
      </c>
      <c r="E74" s="245"/>
      <c r="F74" s="255">
        <f>+B74</f>
        <v>3310</v>
      </c>
      <c r="G74" s="254">
        <f>$D$66*1</f>
        <v>0.04449927419860825</v>
      </c>
      <c r="H74" s="256">
        <f>$D$66*6</f>
        <v>0.26699564519164953</v>
      </c>
    </row>
    <row r="75" spans="2:8" ht="12" customHeight="1">
      <c r="B75" s="261">
        <f>+SUM(B71:B74)</f>
        <v>11856</v>
      </c>
      <c r="C75" s="257">
        <f>+($B71*C71+$B72*C72+$B73*C73+$B74*C74)/$B$75</f>
        <v>0.09926732118748208</v>
      </c>
      <c r="D75" s="257">
        <f>+($B71*D71+$B72*D72+$B73*D73+$B74*D74)/$B$75</f>
        <v>0.36660822496514767</v>
      </c>
      <c r="E75" s="251"/>
      <c r="F75" s="258">
        <f>+SUM(F71:F74)</f>
        <v>11856</v>
      </c>
      <c r="G75" s="257">
        <f>+($B71*G71+$B72*G72+$B73*G73+$B74*G74)/$B$75</f>
        <v>0.09590464358323532</v>
      </c>
      <c r="H75" s="259">
        <f>+($B71*H71+$B72*H72+$B73*H73+$B74*H74)/$B$75</f>
        <v>0.31840101457627656</v>
      </c>
    </row>
    <row r="76" spans="2:4" ht="12" customHeight="1">
      <c r="B76" s="233"/>
      <c r="C76" s="234"/>
      <c r="D76" s="234"/>
    </row>
    <row r="78" spans="2:74" ht="12" customHeight="1">
      <c r="B78" s="262" t="s">
        <v>378</v>
      </c>
      <c r="C78" s="278"/>
      <c r="D78" s="263">
        <v>2007</v>
      </c>
      <c r="E78" s="263">
        <f>+D78+1</f>
        <v>2008</v>
      </c>
      <c r="F78" s="263">
        <f aca="true" t="shared" si="5" ref="F78:AB78">+E78+1</f>
        <v>2009</v>
      </c>
      <c r="G78" s="263">
        <f t="shared" si="5"/>
        <v>2010</v>
      </c>
      <c r="H78" s="263">
        <f t="shared" si="5"/>
        <v>2011</v>
      </c>
      <c r="I78" s="263">
        <f t="shared" si="5"/>
        <v>2012</v>
      </c>
      <c r="J78" s="263">
        <f t="shared" si="5"/>
        <v>2013</v>
      </c>
      <c r="K78" s="263">
        <f t="shared" si="5"/>
        <v>2014</v>
      </c>
      <c r="L78" s="263">
        <f t="shared" si="5"/>
        <v>2015</v>
      </c>
      <c r="M78" s="263">
        <f t="shared" si="5"/>
        <v>2016</v>
      </c>
      <c r="N78" s="263">
        <f t="shared" si="5"/>
        <v>2017</v>
      </c>
      <c r="O78" s="263">
        <f t="shared" si="5"/>
        <v>2018</v>
      </c>
      <c r="P78" s="263">
        <f t="shared" si="5"/>
        <v>2019</v>
      </c>
      <c r="Q78" s="263">
        <f t="shared" si="5"/>
        <v>2020</v>
      </c>
      <c r="R78" s="263">
        <f t="shared" si="5"/>
        <v>2021</v>
      </c>
      <c r="S78" s="263">
        <f t="shared" si="5"/>
        <v>2022</v>
      </c>
      <c r="T78" s="263">
        <f t="shared" si="5"/>
        <v>2023</v>
      </c>
      <c r="U78" s="263">
        <f t="shared" si="5"/>
        <v>2024</v>
      </c>
      <c r="V78" s="263">
        <f t="shared" si="5"/>
        <v>2025</v>
      </c>
      <c r="W78" s="263">
        <f t="shared" si="5"/>
        <v>2026</v>
      </c>
      <c r="X78" s="263">
        <f t="shared" si="5"/>
        <v>2027</v>
      </c>
      <c r="Y78" s="263">
        <f t="shared" si="5"/>
        <v>2028</v>
      </c>
      <c r="Z78" s="263">
        <f t="shared" si="5"/>
        <v>2029</v>
      </c>
      <c r="AA78" s="263">
        <f t="shared" si="5"/>
        <v>2030</v>
      </c>
      <c r="AB78" s="264">
        <f t="shared" si="5"/>
        <v>2031</v>
      </c>
      <c r="BV78" s="93"/>
    </row>
    <row r="79" spans="2:74" ht="12" customHeight="1">
      <c r="B79" s="242" t="s">
        <v>372</v>
      </c>
      <c r="C79" s="250"/>
      <c r="D79" s="265">
        <v>100</v>
      </c>
      <c r="E79" s="265">
        <v>103.79846699386299</v>
      </c>
      <c r="F79" s="265">
        <v>103.39237815258642</v>
      </c>
      <c r="G79" s="265">
        <v>105.17202720546102</v>
      </c>
      <c r="H79" s="265">
        <v>107.04219503890646</v>
      </c>
      <c r="I79" s="265">
        <v>109.38987020105134</v>
      </c>
      <c r="J79" s="265">
        <v>111.85214712208409</v>
      </c>
      <c r="K79" s="265">
        <v>114.34182881154655</v>
      </c>
      <c r="L79" s="265">
        <f aca="true" t="shared" si="6" ref="L79:AB79">+K79*(1+$D$80)</f>
        <v>116.88403304245551</v>
      </c>
      <c r="M79" s="265">
        <f t="shared" si="6"/>
        <v>119.48275904163445</v>
      </c>
      <c r="N79" s="265">
        <f t="shared" si="6"/>
        <v>122.13926347849235</v>
      </c>
      <c r="O79" s="265">
        <f t="shared" si="6"/>
        <v>124.85483096243462</v>
      </c>
      <c r="P79" s="265">
        <f t="shared" si="6"/>
        <v>127.63077466406337</v>
      </c>
      <c r="Q79" s="265">
        <f t="shared" si="6"/>
        <v>130.4684369501891</v>
      </c>
      <c r="R79" s="265">
        <f t="shared" si="6"/>
        <v>133.36919003296083</v>
      </c>
      <c r="S79" s="265">
        <f t="shared" si="6"/>
        <v>136.3344366334285</v>
      </c>
      <c r="T79" s="265">
        <f t="shared" si="6"/>
        <v>139.36561065985876</v>
      </c>
      <c r="U79" s="265">
        <f t="shared" si="6"/>
        <v>142.46417790113176</v>
      </c>
      <c r="V79" s="265">
        <f t="shared" si="6"/>
        <v>145.63163673555485</v>
      </c>
      <c r="W79" s="265">
        <f t="shared" si="6"/>
        <v>148.8695188554352</v>
      </c>
      <c r="X79" s="265">
        <f t="shared" si="6"/>
        <v>152.17939000776235</v>
      </c>
      <c r="Y79" s="265">
        <f t="shared" si="6"/>
        <v>155.56285075135867</v>
      </c>
      <c r="Z79" s="265">
        <f t="shared" si="6"/>
        <v>159.0215372308636</v>
      </c>
      <c r="AA79" s="265">
        <f t="shared" si="6"/>
        <v>162.55712196792638</v>
      </c>
      <c r="AB79" s="266">
        <f t="shared" si="6"/>
        <v>166.17131466998956</v>
      </c>
      <c r="BV79" s="93"/>
    </row>
    <row r="80" spans="2:74" ht="12" customHeight="1">
      <c r="B80" s="242" t="s">
        <v>373</v>
      </c>
      <c r="C80" s="250"/>
      <c r="D80" s="267">
        <f>+AVERAGE(I80:K80)</f>
        <v>0.022233370388879514</v>
      </c>
      <c r="E80" s="268"/>
      <c r="F80" s="268"/>
      <c r="G80" s="268"/>
      <c r="H80" s="268"/>
      <c r="I80" s="267">
        <f>+I79/H79-1</f>
        <v>0.021932240471073783</v>
      </c>
      <c r="J80" s="267">
        <f>+J79/I79-1</f>
        <v>0.022509185873493154</v>
      </c>
      <c r="K80" s="267">
        <f>+K79/J79-1</f>
        <v>0.022258684822071606</v>
      </c>
      <c r="L80" s="250"/>
      <c r="M80" s="250"/>
      <c r="N80" s="250"/>
      <c r="O80" s="250"/>
      <c r="P80" s="250"/>
      <c r="Q80" s="250"/>
      <c r="R80" s="250"/>
      <c r="S80" s="250"/>
      <c r="T80" s="250"/>
      <c r="U80" s="250"/>
      <c r="V80" s="250"/>
      <c r="W80" s="250"/>
      <c r="X80" s="250"/>
      <c r="Y80" s="250"/>
      <c r="Z80" s="250"/>
      <c r="AA80" s="250"/>
      <c r="AB80" s="269"/>
      <c r="BV80" s="93"/>
    </row>
    <row r="81" spans="2:74" ht="12" customHeight="1">
      <c r="B81" s="242" t="s">
        <v>374</v>
      </c>
      <c r="C81" s="250"/>
      <c r="D81" s="268">
        <f>0.53644182*1000/5</f>
        <v>107.288364</v>
      </c>
      <c r="E81" s="270"/>
      <c r="F81" s="250"/>
      <c r="G81" s="250"/>
      <c r="H81" s="250"/>
      <c r="I81" s="250"/>
      <c r="J81" s="250"/>
      <c r="K81" s="250"/>
      <c r="L81" s="250"/>
      <c r="M81" s="250"/>
      <c r="N81" s="250"/>
      <c r="O81" s="250"/>
      <c r="P81" s="250"/>
      <c r="Q81" s="250"/>
      <c r="R81" s="250"/>
      <c r="S81" s="250"/>
      <c r="T81" s="250"/>
      <c r="U81" s="250"/>
      <c r="V81" s="250"/>
      <c r="W81" s="250"/>
      <c r="X81" s="250"/>
      <c r="Y81" s="250"/>
      <c r="Z81" s="250"/>
      <c r="AA81" s="250"/>
      <c r="AB81" s="269"/>
      <c r="BV81" s="93"/>
    </row>
    <row r="82" spans="2:74" ht="12" customHeight="1">
      <c r="B82" s="242"/>
      <c r="C82" s="250"/>
      <c r="D82" s="268"/>
      <c r="E82" s="270"/>
      <c r="F82" s="250"/>
      <c r="G82" s="250"/>
      <c r="H82" s="250"/>
      <c r="I82" s="250"/>
      <c r="J82" s="250"/>
      <c r="K82" s="250"/>
      <c r="L82" s="250"/>
      <c r="M82" s="250"/>
      <c r="N82" s="250"/>
      <c r="O82" s="250"/>
      <c r="P82" s="250"/>
      <c r="Q82" s="250"/>
      <c r="R82" s="250"/>
      <c r="S82" s="250"/>
      <c r="T82" s="250"/>
      <c r="U82" s="250"/>
      <c r="V82" s="250"/>
      <c r="W82" s="250"/>
      <c r="X82" s="250"/>
      <c r="Y82" s="250"/>
      <c r="Z82" s="250"/>
      <c r="AA82" s="250"/>
      <c r="AB82" s="269"/>
      <c r="BV82" s="93"/>
    </row>
    <row r="83" spans="2:74" ht="12" customHeight="1">
      <c r="B83" s="271" t="s">
        <v>371</v>
      </c>
      <c r="C83" s="279"/>
      <c r="D83" s="245"/>
      <c r="E83" s="245"/>
      <c r="F83" s="245"/>
      <c r="G83" s="245"/>
      <c r="H83" s="245"/>
      <c r="I83" s="245"/>
      <c r="J83" s="245"/>
      <c r="K83" s="245"/>
      <c r="L83" s="245"/>
      <c r="M83" s="245"/>
      <c r="N83" s="245"/>
      <c r="O83" s="245"/>
      <c r="P83" s="245"/>
      <c r="Q83" s="245"/>
      <c r="R83" s="245"/>
      <c r="S83" s="245"/>
      <c r="T83" s="245"/>
      <c r="U83" s="245"/>
      <c r="V83" s="245"/>
      <c r="W83" s="245"/>
      <c r="X83" s="245"/>
      <c r="Y83" s="245"/>
      <c r="Z83" s="245"/>
      <c r="AA83" s="245"/>
      <c r="AB83" s="246"/>
      <c r="BV83" s="93"/>
    </row>
    <row r="84" spans="2:74" ht="14.25" customHeight="1">
      <c r="B84" s="271" t="s">
        <v>375</v>
      </c>
      <c r="C84" s="279"/>
      <c r="D84" s="245"/>
      <c r="E84" s="245"/>
      <c r="F84" s="245"/>
      <c r="G84" s="245"/>
      <c r="H84" s="245"/>
      <c r="I84" s="245"/>
      <c r="J84" s="245"/>
      <c r="K84" s="245"/>
      <c r="L84" s="245"/>
      <c r="M84" s="245"/>
      <c r="N84" s="245"/>
      <c r="O84" s="245"/>
      <c r="P84" s="245"/>
      <c r="Q84" s="245"/>
      <c r="R84" s="245"/>
      <c r="S84" s="245"/>
      <c r="T84" s="245"/>
      <c r="U84" s="245"/>
      <c r="V84" s="245"/>
      <c r="W84" s="245"/>
      <c r="X84" s="245"/>
      <c r="Y84" s="245"/>
      <c r="Z84" s="245"/>
      <c r="AA84" s="245"/>
      <c r="AB84" s="246"/>
      <c r="BV84" s="93"/>
    </row>
    <row r="85" spans="2:74" ht="14.25" customHeight="1">
      <c r="B85" s="272" t="s">
        <v>484</v>
      </c>
      <c r="C85" s="280"/>
      <c r="D85" s="251"/>
      <c r="E85" s="251"/>
      <c r="F85" s="251"/>
      <c r="G85" s="251"/>
      <c r="H85" s="251"/>
      <c r="I85" s="251"/>
      <c r="J85" s="251"/>
      <c r="K85" s="251"/>
      <c r="L85" s="251"/>
      <c r="M85" s="251"/>
      <c r="N85" s="251"/>
      <c r="O85" s="251"/>
      <c r="P85" s="251"/>
      <c r="Q85" s="251"/>
      <c r="R85" s="251"/>
      <c r="S85" s="251"/>
      <c r="T85" s="251"/>
      <c r="U85" s="251"/>
      <c r="V85" s="251"/>
      <c r="W85" s="251"/>
      <c r="X85" s="251"/>
      <c r="Y85" s="251"/>
      <c r="Z85" s="251"/>
      <c r="AA85" s="251"/>
      <c r="AB85" s="273"/>
      <c r="BV85" s="93"/>
    </row>
    <row r="86" ht="12" customHeight="1">
      <c r="B86" s="235"/>
    </row>
  </sheetData>
  <sheetProtection/>
  <mergeCells count="2">
    <mergeCell ref="D3:P3"/>
    <mergeCell ref="D27:F27"/>
  </mergeCells>
  <conditionalFormatting sqref="D3">
    <cfRule type="cellIs" priority="1" dxfId="1" operator="equal" stopIfTrue="1">
      <formula>0</formula>
    </cfRule>
    <cfRule type="cellIs" priority="2" dxfId="0" operator="notEqual" stopIfTrue="1">
      <formula>0</formula>
    </cfRule>
  </conditionalFormatting>
  <printOptions/>
  <pageMargins left="0.57" right="0.36" top="1" bottom="1" header="0" footer="0"/>
  <pageSetup horizontalDpi="600" verticalDpi="600" orientation="landscape" paperSize="9" scale="73" r:id="rId2"/>
  <colBreaks count="1" manualBreakCount="1">
    <brk id="13" max="65535" man="1"/>
  </colBreaks>
  <drawing r:id="rId1"/>
</worksheet>
</file>

<file path=xl/worksheets/sheet9.xml><?xml version="1.0" encoding="utf-8"?>
<worksheet xmlns="http://schemas.openxmlformats.org/spreadsheetml/2006/main" xmlns:r="http://schemas.openxmlformats.org/officeDocument/2006/relationships">
  <sheetPr codeName="Sheet9"/>
  <dimension ref="B2:N26"/>
  <sheetViews>
    <sheetView zoomScalePageLayoutView="0" workbookViewId="0" topLeftCell="A1">
      <selection activeCell="A1" sqref="A1"/>
    </sheetView>
  </sheetViews>
  <sheetFormatPr defaultColWidth="9.140625" defaultRowHeight="12.75"/>
  <cols>
    <col min="1" max="1" width="7.7109375" style="0" customWidth="1"/>
    <col min="2" max="2" width="29.7109375" style="0" customWidth="1"/>
    <col min="3" max="3" width="12.00390625" style="0" customWidth="1"/>
    <col min="4" max="4" width="22.8515625" style="0" customWidth="1"/>
    <col min="5" max="5" width="62.57421875" style="0" customWidth="1"/>
  </cols>
  <sheetData>
    <row r="2" spans="2:6" ht="20.25">
      <c r="B2" s="98" t="s">
        <v>306</v>
      </c>
      <c r="E2" s="346" t="s">
        <v>379</v>
      </c>
      <c r="F2" s="347">
        <f>'User''s Guide'!$E$10</f>
        <v>41123</v>
      </c>
    </row>
    <row r="3" ht="18">
      <c r="B3" s="95" t="s">
        <v>447</v>
      </c>
    </row>
    <row r="4" ht="18">
      <c r="B4" s="95"/>
    </row>
    <row r="5" spans="2:5" ht="24" customHeight="1">
      <c r="B5" s="366" t="s">
        <v>380</v>
      </c>
      <c r="C5" s="367" t="s">
        <v>472</v>
      </c>
      <c r="D5" s="367" t="s">
        <v>381</v>
      </c>
      <c r="E5" s="368" t="s">
        <v>382</v>
      </c>
    </row>
    <row r="6" spans="2:5" ht="12.75">
      <c r="B6" s="369" t="s">
        <v>383</v>
      </c>
      <c r="C6" s="51">
        <v>440</v>
      </c>
      <c r="D6" s="373" t="s">
        <v>384</v>
      </c>
      <c r="E6" s="376" t="s">
        <v>385</v>
      </c>
    </row>
    <row r="7" spans="2:5" ht="12.75">
      <c r="B7" s="370" t="s">
        <v>386</v>
      </c>
      <c r="C7" s="51">
        <v>8</v>
      </c>
      <c r="D7" s="373" t="s">
        <v>384</v>
      </c>
      <c r="E7" s="376" t="s">
        <v>388</v>
      </c>
    </row>
    <row r="8" spans="2:5" ht="12.75">
      <c r="B8" s="370" t="s">
        <v>387</v>
      </c>
      <c r="C8" s="51">
        <v>64</v>
      </c>
      <c r="D8" s="373" t="s">
        <v>384</v>
      </c>
      <c r="E8" s="376" t="s">
        <v>389</v>
      </c>
    </row>
    <row r="9" spans="2:5" ht="12.75">
      <c r="B9" s="370" t="s">
        <v>390</v>
      </c>
      <c r="C9" s="51">
        <v>108</v>
      </c>
      <c r="D9" s="373" t="s">
        <v>384</v>
      </c>
      <c r="E9" s="376" t="s">
        <v>391</v>
      </c>
    </row>
    <row r="10" spans="2:5" ht="12.75">
      <c r="B10" s="370" t="s">
        <v>392</v>
      </c>
      <c r="C10" s="51">
        <v>11</v>
      </c>
      <c r="D10" s="373" t="s">
        <v>384</v>
      </c>
      <c r="E10" s="376" t="s">
        <v>393</v>
      </c>
    </row>
    <row r="11" spans="2:5" ht="12.75">
      <c r="B11" s="370" t="s">
        <v>412</v>
      </c>
      <c r="C11" s="51">
        <v>244</v>
      </c>
      <c r="D11" s="373" t="s">
        <v>384</v>
      </c>
      <c r="E11" s="376" t="s">
        <v>394</v>
      </c>
    </row>
    <row r="12" spans="2:5" ht="12.75">
      <c r="B12" s="370" t="s">
        <v>413</v>
      </c>
      <c r="C12" s="51">
        <v>5</v>
      </c>
      <c r="D12" s="373" t="s">
        <v>384</v>
      </c>
      <c r="E12" s="376"/>
    </row>
    <row r="13" spans="2:5" ht="12.75">
      <c r="B13" s="370" t="s">
        <v>395</v>
      </c>
      <c r="C13" s="504">
        <v>367.03</v>
      </c>
      <c r="D13" s="373" t="s">
        <v>400</v>
      </c>
      <c r="E13" s="376" t="s">
        <v>396</v>
      </c>
    </row>
    <row r="14" spans="2:5" ht="12.75">
      <c r="B14" s="370" t="s">
        <v>397</v>
      </c>
      <c r="C14" s="504">
        <v>149.67</v>
      </c>
      <c r="D14" s="373" t="s">
        <v>400</v>
      </c>
      <c r="E14" s="376" t="s">
        <v>398</v>
      </c>
    </row>
    <row r="15" spans="2:5" ht="12.75">
      <c r="B15" s="370" t="s">
        <v>399</v>
      </c>
      <c r="C15" s="504">
        <v>293</v>
      </c>
      <c r="D15" s="373" t="s">
        <v>400</v>
      </c>
      <c r="E15" s="376" t="s">
        <v>402</v>
      </c>
    </row>
    <row r="16" spans="2:5" ht="12.75">
      <c r="B16" s="370" t="s">
        <v>401</v>
      </c>
      <c r="C16" s="504">
        <v>594.4545</v>
      </c>
      <c r="D16" s="373" t="s">
        <v>400</v>
      </c>
      <c r="E16" s="376" t="s">
        <v>403</v>
      </c>
    </row>
    <row r="17" spans="2:5" ht="12.75">
      <c r="B17" s="370" t="s">
        <v>404</v>
      </c>
      <c r="C17" s="504">
        <v>157.79</v>
      </c>
      <c r="D17" s="373" t="s">
        <v>400</v>
      </c>
      <c r="E17" s="376" t="s">
        <v>405</v>
      </c>
    </row>
    <row r="18" spans="2:5" ht="12.75">
      <c r="B18" s="370" t="s">
        <v>413</v>
      </c>
      <c r="C18" s="504">
        <v>360</v>
      </c>
      <c r="D18" s="373" t="s">
        <v>400</v>
      </c>
      <c r="E18" s="376" t="s">
        <v>414</v>
      </c>
    </row>
    <row r="19" spans="2:5" ht="12.75">
      <c r="B19" s="370" t="s">
        <v>409</v>
      </c>
      <c r="C19" s="51">
        <v>1</v>
      </c>
      <c r="D19" s="373" t="s">
        <v>410</v>
      </c>
      <c r="E19" s="377" t="s">
        <v>411</v>
      </c>
    </row>
    <row r="20" spans="2:5" ht="12.75">
      <c r="B20" s="370" t="s">
        <v>420</v>
      </c>
      <c r="C20" s="51">
        <f>0.493/0.5</f>
        <v>0.986</v>
      </c>
      <c r="D20" s="373" t="s">
        <v>423</v>
      </c>
      <c r="E20" s="376" t="s">
        <v>473</v>
      </c>
    </row>
    <row r="21" spans="2:5" ht="12.75">
      <c r="B21" s="370" t="s">
        <v>424</v>
      </c>
      <c r="C21" s="505">
        <v>0</v>
      </c>
      <c r="D21" s="374" t="s">
        <v>429</v>
      </c>
      <c r="E21" s="376" t="s">
        <v>471</v>
      </c>
    </row>
    <row r="22" spans="2:5" ht="12.75">
      <c r="B22" s="371" t="s">
        <v>425</v>
      </c>
      <c r="C22" s="505">
        <v>0.11547619047619048</v>
      </c>
      <c r="D22" s="374" t="s">
        <v>429</v>
      </c>
      <c r="E22" s="376" t="s">
        <v>471</v>
      </c>
    </row>
    <row r="23" spans="2:5" ht="12.75">
      <c r="B23" s="371" t="s">
        <v>426</v>
      </c>
      <c r="C23" s="505">
        <v>0.3491666666666667</v>
      </c>
      <c r="D23" s="374" t="s">
        <v>429</v>
      </c>
      <c r="E23" s="376" t="s">
        <v>471</v>
      </c>
    </row>
    <row r="24" spans="2:5" ht="12.75">
      <c r="B24" s="371" t="s">
        <v>427</v>
      </c>
      <c r="C24" s="505">
        <v>0.501547619047619</v>
      </c>
      <c r="D24" s="374" t="s">
        <v>429</v>
      </c>
      <c r="E24" s="376" t="s">
        <v>471</v>
      </c>
    </row>
    <row r="25" spans="2:5" ht="12.75">
      <c r="B25" s="372" t="s">
        <v>428</v>
      </c>
      <c r="C25" s="506">
        <v>0.03380952380952381</v>
      </c>
      <c r="D25" s="375" t="s">
        <v>429</v>
      </c>
      <c r="E25" s="378" t="s">
        <v>471</v>
      </c>
    </row>
    <row r="26" spans="2:14" ht="12.75">
      <c r="B26" s="541">
        <f>IF('ERR &amp; Sensitivity Analysis'!$I$10="N","Note: Current calculations are based on user input and are not the original MCC estimates.",IF('ERR &amp; Sensitivity Analysis'!$I$11="N","Note: Current calculations are based on user input and are not the original MCC estimates.",0))</f>
        <v>0</v>
      </c>
      <c r="C26" s="541"/>
      <c r="D26" s="541"/>
      <c r="E26" s="541"/>
      <c r="F26" s="541"/>
      <c r="G26" s="541"/>
      <c r="H26" s="541"/>
      <c r="I26" s="541"/>
      <c r="J26" s="541"/>
      <c r="K26" s="541"/>
      <c r="L26" s="541"/>
      <c r="M26" s="541"/>
      <c r="N26" s="541"/>
    </row>
  </sheetData>
  <sheetProtection/>
  <mergeCells count="1">
    <mergeCell ref="B26:N26"/>
  </mergeCells>
  <conditionalFormatting sqref="B26">
    <cfRule type="cellIs" priority="1" dxfId="1" operator="equal" stopIfTrue="1">
      <formula>0</formula>
    </cfRule>
    <cfRule type="cellIs" priority="2" dxfId="0" operator="notEqual" stopIfTrue="1">
      <formula>0</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 Salvador's Human Development Project, Non-formal Skills Development</dc:title>
  <dc:subject/>
  <dc:creator>Millennium Challenge Corporation</dc:creator>
  <cp:keywords/>
  <dc:description/>
  <cp:lastModifiedBy>Block, Marissa L (DPE/EE-EA/PSC)</cp:lastModifiedBy>
  <cp:lastPrinted>2013-06-19T15:35:20Z</cp:lastPrinted>
  <dcterms:created xsi:type="dcterms:W3CDTF">2006-04-03T23:16:41Z</dcterms:created>
  <dcterms:modified xsi:type="dcterms:W3CDTF">2015-03-27T15:04:53Z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