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0" windowWidth="19035" windowHeight="9720" activeTab="0"/>
  </bookViews>
  <sheets>
    <sheet name="User's Guide" sheetId="1" r:id="rId1"/>
    <sheet name="Activity Description" sheetId="2" r:id="rId2"/>
    <sheet name="ERR &amp; Sensitivity Analysis" sheetId="3" r:id="rId3"/>
    <sheet name="Cost-Benefit Summary" sheetId="4" r:id="rId4"/>
    <sheet name="Loans Made" sheetId="5" r:id="rId5"/>
    <sheet name="Wage expenditures by Loan"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<sst xmlns="http://schemas.openxmlformats.org/spreadsheetml/2006/main" count="225" uniqueCount="112">
  <si>
    <t>-</t>
  </si>
  <si>
    <t>TOTAL</t>
  </si>
  <si>
    <t>Units</t>
  </si>
  <si>
    <t>Net Incremental Benefits</t>
  </si>
  <si>
    <t>ERR</t>
  </si>
  <si>
    <t>NPV</t>
  </si>
  <si>
    <t>Investment Cash Flow (including loan and own capital)</t>
  </si>
  <si>
    <t>Index</t>
  </si>
  <si>
    <t>CPI (2005=100)</t>
  </si>
  <si>
    <t>%</t>
  </si>
  <si>
    <t>Nominal USD</t>
  </si>
  <si>
    <t xml:space="preserve">Last updated:  </t>
  </si>
  <si>
    <t>Original ERR</t>
  </si>
  <si>
    <t>Date</t>
  </si>
  <si>
    <t>Amount of MCC funds</t>
  </si>
  <si>
    <t>None</t>
  </si>
  <si>
    <t>One should read this sheet first, as it offers a summary of the project, a list of components, and states the economic rationale for the project.</t>
  </si>
  <si>
    <t>ERR &amp; Sensitivity Analysis</t>
  </si>
  <si>
    <t>A brief summary of the project's key parameters and ERR calculations.</t>
  </si>
  <si>
    <t>ERR and sensitivity analysis</t>
  </si>
  <si>
    <r>
      <t>Change the "</t>
    </r>
    <r>
      <rPr>
        <sz val="10"/>
        <color indexed="12"/>
        <rFont val="Arial"/>
        <family val="2"/>
      </rPr>
      <t>User Input</t>
    </r>
    <r>
      <rPr>
        <sz val="11"/>
        <color theme="1"/>
        <rFont val="Calibri"/>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1"/>
        <color theme="1"/>
        <rFont val="Calibri"/>
        <family val="2"/>
      </rPr>
      <t>" button at right.  Be sure to reset all summary parameters to their original values ("MCC Estimate" values) before changing specific parameters.</t>
    </r>
  </si>
  <si>
    <t>Parameter type</t>
  </si>
  <si>
    <t>Description of key parameters</t>
  </si>
  <si>
    <t>Parameter values</t>
  </si>
  <si>
    <t>User Input</t>
  </si>
  <si>
    <t>MCC Estimate</t>
  </si>
  <si>
    <t>Recommended range</t>
  </si>
  <si>
    <t>Values used in ERR computation</t>
  </si>
  <si>
    <t>All summary parameters set to initial values?</t>
  </si>
  <si>
    <t>Summary</t>
  </si>
  <si>
    <t>Actual costs as a percentage of estimated costs</t>
  </si>
  <si>
    <t>80 - 120%</t>
  </si>
  <si>
    <t>Actual benefits as a percentage of estimated benefits</t>
  </si>
  <si>
    <t>Economic rate of return (ERR):</t>
  </si>
  <si>
    <t>20 years</t>
  </si>
  <si>
    <t>MCC Estimated ERRs:</t>
  </si>
  <si>
    <t>Original</t>
  </si>
  <si>
    <t>Closeout</t>
  </si>
  <si>
    <t>NA</t>
  </si>
  <si>
    <t>$21 million</t>
  </si>
  <si>
    <t>$8 million</t>
  </si>
  <si>
    <t>Activity Description</t>
  </si>
  <si>
    <t>This sheet enumerates the project's investment benefits and costs over 20 years</t>
  </si>
  <si>
    <t>Loans Made</t>
  </si>
  <si>
    <t>Provides a list of all loans petitioned and estimated value chains.</t>
  </si>
  <si>
    <t>Components</t>
  </si>
  <si>
    <t>Economic Rationale</t>
  </si>
  <si>
    <t>Net Wage Expenditures</t>
  </si>
  <si>
    <t>Wage Benefits</t>
  </si>
  <si>
    <t>Value</t>
  </si>
  <si>
    <t>Variable</t>
  </si>
  <si>
    <t>Notes</t>
  </si>
  <si>
    <t>Total # of full time employees</t>
  </si>
  <si>
    <t>Total # of part time employees</t>
  </si>
  <si>
    <t>Total Benefits</t>
  </si>
  <si>
    <t>Wage Expenditures by Loan</t>
  </si>
  <si>
    <t>Wage costs by loan.</t>
  </si>
  <si>
    <t>This Project Activity will require potential beneficiaries to compete for support based on transparent criteria and the provision of a significant contribution either of their own or of their business partner resources. These elements help ensure that resources are directed to the most promising business endeavors. Beneficiaries assisted in developing a business plan under the Business Services Activity may submit those business plans for award consideration under this Project Activity; however, investment support applications may also be submitted by candidates that have not received assistance under the Business Services Activity or otherwise under the Productive Development Project.  A total of 25 loans were approved</t>
  </si>
  <si>
    <t xml:space="preserve">     By providing investment support to entrepreneurs in industries with high demand in the region this activity will boost business productivity and job growth of the businesses selected for loan disbursement.</t>
  </si>
  <si>
    <t>MCA Program Admin And M&amp;E (MCC Costs)</t>
  </si>
  <si>
    <t>ERR Version</t>
  </si>
  <si>
    <t>Date of ERR</t>
  </si>
  <si>
    <t>Project Description</t>
  </si>
  <si>
    <t>Benefit streams included in ERR</t>
  </si>
  <si>
    <t>Costs included in ERR (not borne by MCC)</t>
  </si>
  <si>
    <t>ERR estimations and time horizon</t>
  </si>
  <si>
    <t>El Salvador: Finance/Investment Support</t>
  </si>
  <si>
    <t>Table of Contents</t>
  </si>
  <si>
    <t>Cost-Benefit Summary</t>
  </si>
  <si>
    <t>Year 1</t>
  </si>
  <si>
    <t>Year 2</t>
  </si>
  <si>
    <t>Year 3</t>
  </si>
  <si>
    <t>Year 4</t>
  </si>
  <si>
    <t>Year 5</t>
  </si>
  <si>
    <t>Year 6</t>
  </si>
  <si>
    <t>Year 7</t>
  </si>
  <si>
    <t>Year 8</t>
  </si>
  <si>
    <t>Year 9</t>
  </si>
  <si>
    <t>Year 10</t>
  </si>
  <si>
    <t>Cost/Benefit Summary</t>
  </si>
  <si>
    <t>Cost Scenario</t>
  </si>
  <si>
    <t>Benefit Scenario</t>
  </si>
  <si>
    <r>
      <rPr>
        <i/>
        <vertAlign val="superscript"/>
        <sz val="11"/>
        <color indexed="8"/>
        <rFont val="Calibri"/>
        <family val="2"/>
      </rPr>
      <t>1</t>
    </r>
    <r>
      <rPr>
        <i/>
        <sz val="11"/>
        <color indexed="8"/>
        <rFont val="Calibri"/>
        <family val="2"/>
      </rPr>
      <t xml:space="preserve"> World Development Index Data, Average 2000-2010</t>
    </r>
  </si>
  <si>
    <r>
      <t xml:space="preserve">Estimated CPI Growth </t>
    </r>
    <r>
      <rPr>
        <b/>
        <vertAlign val="superscript"/>
        <sz val="11"/>
        <color indexed="8"/>
        <rFont val="Calibri"/>
        <family val="2"/>
      </rPr>
      <t>1</t>
    </r>
  </si>
  <si>
    <t>10% discount rate</t>
  </si>
  <si>
    <t>Initial loan disbursement</t>
  </si>
  <si>
    <t>Since wages are benefits to households in the northern zone, these are added in as project benefits.</t>
  </si>
  <si>
    <t>Days worked per year (Full Time)</t>
  </si>
  <si>
    <r>
      <rPr>
        <i/>
        <vertAlign val="superscript"/>
        <sz val="10"/>
        <color indexed="8"/>
        <rFont val="Arial "/>
        <family val="0"/>
      </rPr>
      <t>1</t>
    </r>
    <r>
      <rPr>
        <i/>
        <sz val="10"/>
        <color indexed="8"/>
        <rFont val="Arial "/>
        <family val="0"/>
      </rPr>
      <t xml:space="preserve">  FOMILENIO = Fondo del Milenio, the entity accountable for implementing the program that was created through ratification of the Compact by El Salvador's Legislative Assembly</t>
    </r>
  </si>
  <si>
    <r>
      <t xml:space="preserve">FOMILENIO </t>
    </r>
    <r>
      <rPr>
        <i/>
        <vertAlign val="superscript"/>
        <sz val="10"/>
        <color indexed="8"/>
        <rFont val="Arial"/>
        <family val="2"/>
      </rPr>
      <t>1</t>
    </r>
  </si>
  <si>
    <r>
      <rPr>
        <i/>
        <vertAlign val="superscript"/>
        <sz val="10"/>
        <color indexed="8"/>
        <rFont val="Arial"/>
        <family val="2"/>
      </rPr>
      <t xml:space="preserve">2 </t>
    </r>
    <r>
      <rPr>
        <i/>
        <sz val="10"/>
        <color indexed="8"/>
        <rFont val="Arial"/>
        <family val="2"/>
      </rPr>
      <t xml:space="preserve"> Assumed minimum wage, rural areas</t>
    </r>
  </si>
  <si>
    <r>
      <t xml:space="preserve">Opportunity Cost per day </t>
    </r>
    <r>
      <rPr>
        <vertAlign val="superscript"/>
        <sz val="10"/>
        <color indexed="8"/>
        <rFont val="Arial"/>
        <family val="2"/>
      </rPr>
      <t>2</t>
    </r>
  </si>
  <si>
    <t>Annual Cashflows</t>
  </si>
  <si>
    <t>IRR</t>
  </si>
  <si>
    <t>2008 USD</t>
  </si>
  <si>
    <t>Present Value (PV) of Benefits:</t>
  </si>
  <si>
    <t>Present Value (PV) of MCC Costs:</t>
  </si>
  <si>
    <t>2008 USD, 10% discount rate</t>
  </si>
  <si>
    <t>Benefits</t>
  </si>
  <si>
    <t>Costs</t>
  </si>
  <si>
    <t>Total Costs</t>
  </si>
  <si>
    <t xml:space="preserve">PV Costs </t>
  </si>
  <si>
    <t xml:space="preserve">PV Benefits </t>
  </si>
  <si>
    <t xml:space="preserve"> 15.5% over 20 years</t>
  </si>
  <si>
    <t>Closeout Project</t>
  </si>
  <si>
    <t>Closeout ERR</t>
  </si>
  <si>
    <t>To attract private investment in and various types of financing for high-value economic activities in the Northern Zone, the Investment Support Activity will utilize MCC Funding to support a demand-driven, competitive process to provide capital to critical investments required for successful operation of a business activity that is part of a value chain that will be located in and/or benefit poor inhabitants in the Northern Zone. The goal of the Investment Support Activity is to make investment capital available to poor individuals, and organizations that benefit poor inhabitants of the Northern Zone, who, due to insufficient collateral and lack of liquid assets, are not able to finance their investments. This investment support is intended to reduce poverty by enabling the creation of profitable and sustainable business activities that generate employment and significantly raise income.</t>
  </si>
  <si>
    <t>To attract private investment in, and various types of financing for, high-value economic activities in the Northern Zone, the Investment Support Activity will utilize MCC Funding to support a demand-driven, competitive process to provide capital to critical investments required for successful operation of a business activity that is part of a value chain that will be located in and/or benefit poor inhabitants in the Northern Zone. The goal of the Investment Support Activity is to make investment capital available to poor individuals, and organizations that benefit poor inhabitants of the Northern Zone, who, due to insufficient collateral and lack of liquid assets, are not able to finance their investments. This investment support is intended to reduce poverty by enabling the creation of profitable and sustainable business activities that generate employment and significantly raise income.</t>
  </si>
  <si>
    <r>
      <t>Expected</t>
    </r>
    <r>
      <rPr>
        <sz val="10"/>
        <color indexed="10"/>
        <rFont val="Arial"/>
        <family val="2"/>
      </rPr>
      <t xml:space="preserve"> </t>
    </r>
    <r>
      <rPr>
        <sz val="10"/>
        <rFont val="Arial"/>
        <family val="2"/>
      </rPr>
      <t>profits, based on the applicants proposed investment plan</t>
    </r>
  </si>
  <si>
    <t>MCC Funding will support the administration and funding of an investment support program providing investment capital for the development of competitively selected business proposals.</t>
  </si>
  <si>
    <t>Loan #</t>
  </si>
  <si>
    <t>CONSULTING FEES (MCC Costs)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</si>
</sst>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40A]* #,##0.00_);_([$$-440A]* \(#,##0.00\);_([$$-440A]* &quot;-&quot;??_);_(@_)"/>
    <numFmt numFmtId="165" formatCode="_(* #,##0_);_(* \(#,##0\);_(* &quot;-&quot;??_);_(@_)"/>
    <numFmt numFmtId="166" formatCode="0.0%"/>
    <numFmt numFmtId="167" formatCode="_([$$-440A]* #,##0.000_);_([$$-440A]* \(#,##0.000\);_([$$-440A]* &quot;-&quot;??_);_(@_)"/>
    <numFmt numFmtId="168" formatCode="&quot;$&quot;#,##0.00"/>
    <numFmt numFmtId="169" formatCode="_(&quot;$&quot;* #,##0_);_(&quot;$&quot;* \(#,##0\);_(&quot;$&quot;* &quot;-&quot;??_);_(@_)"/>
  </numFmts>
  <fonts count="92">
    <font>
      <sz val="11"/>
      <color theme="1"/>
      <name val="Calibri"/>
      <family val="2"/>
    </font>
    <font>
      <sz val="11"/>
      <color indexed="8"/>
      <name val="Calibri"/>
      <family val="2"/>
    </font>
    <font>
      <sz val="11"/>
      <color indexed="10"/>
      <name val="Calibri"/>
      <family val="2"/>
    </font>
    <font>
      <b/>
      <sz val="11"/>
      <color indexed="8"/>
      <name val="Calibri"/>
      <family val="2"/>
    </font>
    <font>
      <sz val="10"/>
      <color indexed="8"/>
      <name val="Calibri"/>
      <family val="2"/>
    </font>
    <font>
      <b/>
      <sz val="12"/>
      <color indexed="8"/>
      <name val="Calibri"/>
      <family val="2"/>
    </font>
    <font>
      <sz val="8"/>
      <color indexed="10"/>
      <name val="Arial"/>
      <family val="2"/>
    </font>
    <font>
      <b/>
      <sz val="16"/>
      <name val="Arial"/>
      <family val="2"/>
    </font>
    <font>
      <sz val="10"/>
      <name val="Arial"/>
      <family val="2"/>
    </font>
    <font>
      <u val="single"/>
      <sz val="10"/>
      <color indexed="12"/>
      <name val="Arial"/>
      <family val="2"/>
    </font>
    <font>
      <sz val="10"/>
      <color indexed="55"/>
      <name val="Arial"/>
      <family val="2"/>
    </font>
    <font>
      <b/>
      <sz val="10"/>
      <color indexed="12"/>
      <name val="Arial"/>
      <family val="2"/>
    </font>
    <font>
      <b/>
      <sz val="18"/>
      <color indexed="32"/>
      <name val="Arial"/>
      <family val="2"/>
    </font>
    <font>
      <sz val="14"/>
      <name val="Arial"/>
      <family val="2"/>
    </font>
    <font>
      <sz val="10"/>
      <color indexed="10"/>
      <name val="Arial"/>
      <family val="2"/>
    </font>
    <font>
      <sz val="10"/>
      <color indexed="12"/>
      <name val="Arial"/>
      <family val="2"/>
    </font>
    <font>
      <b/>
      <sz val="12"/>
      <name val="Arial"/>
      <family val="2"/>
    </font>
    <font>
      <sz val="10"/>
      <color indexed="23"/>
      <name val="Arial"/>
      <family val="2"/>
    </font>
    <font>
      <b/>
      <sz val="10"/>
      <color indexed="55"/>
      <name val="Arial"/>
      <family val="2"/>
    </font>
    <font>
      <sz val="10"/>
      <color indexed="9"/>
      <name val="Arial"/>
      <family val="2"/>
    </font>
    <font>
      <b/>
      <sz val="10"/>
      <name val="Arial"/>
      <family val="2"/>
    </font>
    <font>
      <b/>
      <sz val="10"/>
      <color indexed="10"/>
      <name val="Arial"/>
      <family val="2"/>
    </font>
    <font>
      <b/>
      <sz val="10"/>
      <color indexed="9"/>
      <name val="Arial"/>
      <family val="2"/>
    </font>
    <font>
      <sz val="11"/>
      <name val="Calibri"/>
      <family val="2"/>
    </font>
    <font>
      <b/>
      <sz val="10"/>
      <color indexed="8"/>
      <name val="Arial"/>
      <family val="2"/>
    </font>
    <font>
      <b/>
      <sz val="10"/>
      <color indexed="23"/>
      <name val="Arial"/>
      <family val="2"/>
    </font>
    <font>
      <sz val="10"/>
      <color indexed="8"/>
      <name val="Arial"/>
      <family val="2"/>
    </font>
    <font>
      <sz val="8"/>
      <color indexed="17"/>
      <name val="Arial"/>
      <family val="2"/>
    </font>
    <font>
      <i/>
      <sz val="11"/>
      <color indexed="8"/>
      <name val="Calibri"/>
      <family val="2"/>
    </font>
    <font>
      <i/>
      <vertAlign val="superscript"/>
      <sz val="11"/>
      <color indexed="8"/>
      <name val="Calibri"/>
      <family val="2"/>
    </font>
    <font>
      <b/>
      <vertAlign val="superscript"/>
      <sz val="11"/>
      <color indexed="8"/>
      <name val="Calibri"/>
      <family val="2"/>
    </font>
    <font>
      <i/>
      <sz val="10"/>
      <color indexed="8"/>
      <name val="Arial "/>
      <family val="0"/>
    </font>
    <font>
      <i/>
      <vertAlign val="superscript"/>
      <sz val="10"/>
      <color indexed="8"/>
      <name val="Arial "/>
      <family val="0"/>
    </font>
    <font>
      <i/>
      <sz val="10"/>
      <color indexed="8"/>
      <name val="Arial"/>
      <family val="2"/>
    </font>
    <font>
      <b/>
      <u val="single"/>
      <sz val="10"/>
      <color indexed="8"/>
      <name val="Arial"/>
      <family val="2"/>
    </font>
    <font>
      <i/>
      <vertAlign val="superscript"/>
      <sz val="10"/>
      <color indexed="8"/>
      <name val="Arial"/>
      <family val="2"/>
    </font>
    <font>
      <vertAlign val="superscript"/>
      <sz val="10"/>
      <color indexed="8"/>
      <name val="Arial"/>
      <family val="2"/>
    </font>
    <font>
      <sz val="10"/>
      <color indexed="56"/>
      <name val="Arial"/>
      <family val="2"/>
    </font>
    <font>
      <i/>
      <sz val="10"/>
      <name val="Arial"/>
      <family val="2"/>
    </font>
    <font>
      <b/>
      <i/>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5"/>
      <color indexed="8"/>
      <name val="Arial"/>
      <family val="2"/>
    </font>
    <font>
      <b/>
      <sz val="10.5"/>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8"/>
      <color rgb="FFFF0000"/>
      <name val="Arial"/>
      <family val="2"/>
    </font>
    <font>
      <sz val="10"/>
      <color theme="0" tint="-0.3499799966812134"/>
      <name val="Arial"/>
      <family val="2"/>
    </font>
    <font>
      <sz val="10"/>
      <color rgb="FFFF0000"/>
      <name val="Arial"/>
      <family val="2"/>
    </font>
    <font>
      <b/>
      <sz val="10"/>
      <color rgb="FFFF0000"/>
      <name val="Arial"/>
      <family val="2"/>
    </font>
    <font>
      <b/>
      <sz val="10"/>
      <color theme="0" tint="-0.3499799966812134"/>
      <name val="Arial"/>
      <family val="2"/>
    </font>
    <font>
      <b/>
      <sz val="10"/>
      <color theme="0" tint="-0.4999699890613556"/>
      <name val="Arial"/>
      <family val="2"/>
    </font>
    <font>
      <sz val="10"/>
      <color theme="0" tint="-0.4999699890613556"/>
      <name val="Arial"/>
      <family val="2"/>
    </font>
    <font>
      <sz val="10"/>
      <color theme="1"/>
      <name val="Arial"/>
      <family val="2"/>
    </font>
    <font>
      <sz val="8"/>
      <color theme="6" tint="-0.4999699890613556"/>
      <name val="Arial"/>
      <family val="2"/>
    </font>
    <font>
      <i/>
      <sz val="11"/>
      <color theme="1"/>
      <name val="Calibri"/>
      <family val="2"/>
    </font>
    <font>
      <i/>
      <sz val="10"/>
      <color theme="1"/>
      <name val="Arial"/>
      <family val="2"/>
    </font>
    <font>
      <b/>
      <u val="single"/>
      <sz val="10"/>
      <color theme="1"/>
      <name val="Arial"/>
      <family val="2"/>
    </font>
    <font>
      <b/>
      <sz val="10"/>
      <color theme="1"/>
      <name val="Arial"/>
      <family val="2"/>
    </font>
    <font>
      <sz val="10"/>
      <color theme="3" tint="-0.4999699890613556"/>
      <name val="Arial"/>
      <family val="2"/>
    </font>
    <font>
      <b/>
      <i/>
      <u val="single"/>
      <sz val="11"/>
      <color theme="1"/>
      <name val="Calibri"/>
      <family val="2"/>
    </font>
    <font>
      <b/>
      <sz val="10"/>
      <color rgb="FF000000"/>
      <name val="Arial"/>
      <family val="2"/>
    </font>
    <font>
      <i/>
      <sz val="10"/>
      <color theme="1"/>
      <name val="Arial "/>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theme="3" tint="0.79997998476028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double"/>
      <top style="thin"/>
      <bottom style="thin"/>
    </border>
    <border>
      <left style="thin"/>
      <right style="thin"/>
      <top style="thin"/>
      <bottom style="medium"/>
    </border>
    <border>
      <left style="thin"/>
      <right style="thin"/>
      <top style="thin"/>
      <bottom/>
    </border>
    <border>
      <left style="thin"/>
      <right/>
      <top/>
      <bottom/>
    </border>
    <border>
      <left style="thin"/>
      <right style="thin"/>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double"/>
      <right style="thin"/>
      <top style="double"/>
      <bottom style="thin"/>
    </border>
    <border>
      <left style="double"/>
      <right style="thin"/>
      <top style="thin"/>
      <bottom style="thin"/>
    </border>
    <border>
      <left style="double"/>
      <right style="thin"/>
      <top style="thin"/>
      <bottom/>
    </border>
    <border>
      <left style="double"/>
      <right style="thin"/>
      <top style="thin"/>
      <bottom style="double"/>
    </border>
    <border>
      <left style="thin"/>
      <right style="thin"/>
      <top style="double"/>
      <bottom style="thin"/>
    </border>
    <border>
      <left style="double"/>
      <right style="double"/>
      <top style="double"/>
      <bottom/>
    </border>
    <border>
      <left style="double"/>
      <right style="double"/>
      <top style="thin"/>
      <bottom/>
    </border>
    <border>
      <left style="thin"/>
      <right style="double"/>
      <top style="thin"/>
      <bottom/>
    </border>
    <border>
      <left style="thin"/>
      <right style="double"/>
      <top style="thin"/>
      <bottom style="double"/>
    </border>
    <border>
      <left style="thin"/>
      <right/>
      <top style="thin"/>
      <bottom style="thin"/>
    </border>
    <border>
      <left/>
      <right/>
      <top style="thin"/>
      <bottom style="thin"/>
    </border>
    <border>
      <left/>
      <right style="thin"/>
      <top style="thin"/>
      <bottom style="thin"/>
    </border>
    <border>
      <left style="thin">
        <color theme="3"/>
      </left>
      <right style="thin">
        <color theme="3"/>
      </right>
      <top style="thin">
        <color theme="3"/>
      </top>
      <bottom style="thin">
        <color theme="3"/>
      </bottom>
    </border>
    <border>
      <left style="thin"/>
      <right/>
      <top style="thin"/>
      <bottom/>
    </border>
    <border>
      <left/>
      <right/>
      <top style="thin"/>
      <bottom/>
    </border>
    <border>
      <left/>
      <right style="thin"/>
      <top style="thin"/>
      <bottom/>
    </border>
    <border>
      <left/>
      <right style="thin">
        <color theme="3"/>
      </right>
      <top style="thin">
        <color theme="3"/>
      </top>
      <bottom style="thin">
        <color theme="3"/>
      </bottom>
    </border>
    <border>
      <left style="thin">
        <color theme="3"/>
      </left>
      <right style="thin">
        <color theme="3"/>
      </right>
      <top style="thin">
        <color theme="3"/>
      </top>
      <bottom/>
    </border>
    <border>
      <left style="thin">
        <color theme="3"/>
      </left>
      <right style="thin">
        <color theme="3"/>
      </right>
      <top/>
      <bottom/>
    </border>
    <border>
      <left style="thin">
        <color theme="3"/>
      </left>
      <right style="thin">
        <color theme="3"/>
      </right>
      <top style="thin"/>
      <bottom style="thin">
        <color theme="3"/>
      </bottom>
    </border>
    <border>
      <left/>
      <right style="thin">
        <color theme="3"/>
      </right>
      <top style="thin">
        <color theme="3"/>
      </top>
      <bottom/>
    </border>
    <border>
      <left/>
      <right style="thin">
        <color theme="3"/>
      </right>
      <top/>
      <bottom/>
    </border>
    <border>
      <left style="thin">
        <color theme="3"/>
      </left>
      <right style="thin">
        <color theme="3"/>
      </right>
      <top/>
      <bottom style="thin">
        <color theme="3"/>
      </bottom>
    </border>
    <border>
      <left/>
      <right style="thin">
        <color theme="3"/>
      </right>
      <top/>
      <bottom style="thin">
        <color theme="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5">
    <xf numFmtId="0" fontId="0" fillId="0" borderId="0" xfId="0" applyFont="1" applyAlignment="1">
      <alignment/>
    </xf>
    <xf numFmtId="0" fontId="73" fillId="0" borderId="0" xfId="0" applyFont="1" applyAlignment="1">
      <alignment horizontal="center" vertical="center"/>
    </xf>
    <xf numFmtId="0" fontId="73" fillId="0" borderId="0" xfId="0" applyNumberFormat="1" applyFont="1" applyAlignment="1">
      <alignment horizontal="center" vertical="center"/>
    </xf>
    <xf numFmtId="0" fontId="73" fillId="0" borderId="0" xfId="0" applyFont="1" applyAlignment="1">
      <alignment vertical="center"/>
    </xf>
    <xf numFmtId="164" fontId="73" fillId="0" borderId="0" xfId="44" applyNumberFormat="1" applyFont="1" applyAlignment="1">
      <alignment horizontal="left" vertical="center"/>
    </xf>
    <xf numFmtId="164" fontId="73" fillId="0" borderId="0" xfId="44" applyNumberFormat="1" applyFont="1" applyAlignment="1">
      <alignment vertical="center"/>
    </xf>
    <xf numFmtId="164" fontId="73" fillId="0" borderId="0" xfId="44" applyNumberFormat="1" applyFont="1" applyAlignment="1">
      <alignment horizontal="center" vertical="center"/>
    </xf>
    <xf numFmtId="0" fontId="74" fillId="0" borderId="0" xfId="0" applyFont="1" applyAlignment="1">
      <alignment/>
    </xf>
    <xf numFmtId="0" fontId="71" fillId="0" borderId="0" xfId="0" applyFont="1" applyAlignment="1">
      <alignment/>
    </xf>
    <xf numFmtId="9" fontId="72" fillId="0" borderId="0" xfId="0" applyNumberFormat="1" applyFont="1" applyAlignment="1">
      <alignment/>
    </xf>
    <xf numFmtId="0" fontId="0" fillId="0" borderId="10" xfId="0" applyBorder="1" applyAlignment="1">
      <alignment/>
    </xf>
    <xf numFmtId="0" fontId="0" fillId="0" borderId="0" xfId="0" applyBorder="1" applyAlignment="1">
      <alignment/>
    </xf>
    <xf numFmtId="6" fontId="0" fillId="0" borderId="0" xfId="0" applyNumberFormat="1" applyAlignment="1">
      <alignment/>
    </xf>
    <xf numFmtId="10" fontId="0" fillId="0" borderId="0" xfId="0" applyNumberFormat="1" applyAlignment="1">
      <alignment/>
    </xf>
    <xf numFmtId="0" fontId="75" fillId="0" borderId="0" xfId="0" applyFont="1" applyAlignment="1">
      <alignment horizontal="right"/>
    </xf>
    <xf numFmtId="14" fontId="75" fillId="0" borderId="0" xfId="0" applyNumberFormat="1" applyFont="1" applyAlignment="1">
      <alignment horizontal="left"/>
    </xf>
    <xf numFmtId="0" fontId="8" fillId="0" borderId="0" xfId="56" applyAlignment="1">
      <alignment vertical="center"/>
      <protection/>
    </xf>
    <xf numFmtId="14" fontId="76" fillId="33" borderId="11" xfId="56" applyNumberFormat="1" applyFont="1" applyFill="1" applyBorder="1" applyAlignment="1">
      <alignment horizontal="left" vertical="center" wrapText="1" indent="1"/>
      <protection/>
    </xf>
    <xf numFmtId="14" fontId="8" fillId="33" borderId="11" xfId="56" applyNumberFormat="1" applyFont="1" applyFill="1" applyBorder="1" applyAlignment="1">
      <alignment horizontal="left" vertical="center" wrapText="1" indent="1"/>
      <protection/>
    </xf>
    <xf numFmtId="0" fontId="76" fillId="33" borderId="11" xfId="56" applyFont="1" applyFill="1" applyBorder="1" applyAlignment="1">
      <alignment horizontal="left" vertical="center" wrapText="1" indent="1"/>
      <protection/>
    </xf>
    <xf numFmtId="0" fontId="8" fillId="33" borderId="11" xfId="56" applyFont="1" applyFill="1" applyBorder="1" applyAlignment="1">
      <alignment horizontal="left" vertical="center" wrapText="1" indent="1"/>
      <protection/>
    </xf>
    <xf numFmtId="0" fontId="8" fillId="0" borderId="0" xfId="56">
      <alignment/>
      <protection/>
    </xf>
    <xf numFmtId="0" fontId="9" fillId="0" borderId="0" xfId="52" applyBorder="1" applyAlignment="1" applyProtection="1">
      <alignment horizontal="left" vertical="top" wrapText="1"/>
      <protection/>
    </xf>
    <xf numFmtId="0" fontId="9" fillId="0" borderId="0" xfId="52" applyBorder="1" applyAlignment="1" applyProtection="1">
      <alignment/>
      <protection/>
    </xf>
    <xf numFmtId="0" fontId="9" fillId="0" borderId="0" xfId="52" applyBorder="1" applyAlignment="1" applyProtection="1">
      <alignment horizontal="left" wrapText="1"/>
      <protection/>
    </xf>
    <xf numFmtId="0" fontId="7"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77" fillId="0" borderId="0" xfId="0" applyFont="1" applyAlignment="1">
      <alignment/>
    </xf>
    <xf numFmtId="0" fontId="8" fillId="0" borderId="0" xfId="0" applyFont="1" applyAlignment="1">
      <alignment wrapText="1"/>
    </xf>
    <xf numFmtId="0" fontId="11" fillId="0" borderId="12" xfId="0" applyFont="1" applyBorder="1" applyAlignment="1">
      <alignment horizontal="center" vertical="center"/>
    </xf>
    <xf numFmtId="0" fontId="8"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8" fillId="0" borderId="14" xfId="0" applyFont="1" applyBorder="1" applyAlignment="1">
      <alignment vertical="center"/>
    </xf>
    <xf numFmtId="0" fontId="0" fillId="0" borderId="15" xfId="0" applyBorder="1" applyAlignment="1">
      <alignment vertical="center" wrapText="1"/>
    </xf>
    <xf numFmtId="9" fontId="11" fillId="34" borderId="15" xfId="0" applyNumberFormat="1" applyFont="1" applyFill="1" applyBorder="1" applyAlignment="1">
      <alignment horizontal="center" vertical="center" wrapText="1"/>
    </xf>
    <xf numFmtId="9" fontId="8"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9" fontId="8" fillId="35" borderId="16"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9" fontId="8" fillId="0" borderId="0" xfId="0" applyNumberFormat="1" applyFont="1" applyAlignment="1">
      <alignment/>
    </xf>
    <xf numFmtId="0" fontId="8" fillId="0" borderId="18" xfId="0" applyFont="1" applyFill="1" applyBorder="1" applyAlignment="1">
      <alignment vertical="center"/>
    </xf>
    <xf numFmtId="0" fontId="0" fillId="0" borderId="17" xfId="0" applyBorder="1" applyAlignment="1">
      <alignment vertical="center" wrapText="1"/>
    </xf>
    <xf numFmtId="9" fontId="11" fillId="34" borderId="17" xfId="0" applyNumberFormat="1" applyFont="1" applyFill="1" applyBorder="1" applyAlignment="1">
      <alignment horizontal="center" vertical="center" wrapText="1"/>
    </xf>
    <xf numFmtId="9" fontId="8" fillId="0" borderId="17" xfId="0" applyNumberFormat="1" applyFont="1" applyBorder="1" applyAlignment="1">
      <alignment horizontal="center" vertical="center" wrapText="1"/>
    </xf>
    <xf numFmtId="0" fontId="8" fillId="0" borderId="19" xfId="0" applyFont="1" applyBorder="1" applyAlignment="1">
      <alignment horizontal="center" vertical="center" wrapText="1"/>
    </xf>
    <xf numFmtId="9" fontId="8" fillId="35" borderId="19" xfId="0" applyNumberFormat="1" applyFont="1" applyFill="1" applyBorder="1" applyAlignment="1">
      <alignment horizontal="center" vertical="center"/>
    </xf>
    <xf numFmtId="0" fontId="19" fillId="0" borderId="0" xfId="0" applyFont="1" applyAlignment="1">
      <alignment horizontal="center" vertical="center"/>
    </xf>
    <xf numFmtId="0" fontId="8" fillId="0" borderId="0" xfId="0" applyFont="1" applyBorder="1" applyAlignment="1">
      <alignment/>
    </xf>
    <xf numFmtId="0" fontId="15" fillId="0" borderId="0" xfId="52" applyFont="1" applyBorder="1" applyAlignment="1" applyProtection="1">
      <alignment vertical="center"/>
      <protection/>
    </xf>
    <xf numFmtId="0" fontId="20" fillId="0" borderId="0" xfId="0" applyFont="1" applyAlignment="1">
      <alignment horizontal="right"/>
    </xf>
    <xf numFmtId="166" fontId="22" fillId="36" borderId="20" xfId="0" applyNumberFormat="1" applyFont="1" applyFill="1" applyBorder="1" applyAlignment="1">
      <alignment horizontal="center"/>
    </xf>
    <xf numFmtId="10" fontId="78" fillId="0" borderId="0" xfId="0" applyNumberFormat="1" applyFont="1" applyAlignment="1">
      <alignment horizontal="right"/>
    </xf>
    <xf numFmtId="166" fontId="20" fillId="0" borderId="0" xfId="0" applyNumberFormat="1" applyFont="1" applyFill="1" applyBorder="1" applyAlignment="1">
      <alignment horizontal="center"/>
    </xf>
    <xf numFmtId="0" fontId="20" fillId="0" borderId="0" xfId="58" applyFont="1" applyAlignment="1">
      <alignment horizontal="right"/>
      <protection/>
    </xf>
    <xf numFmtId="0" fontId="79" fillId="0" borderId="20" xfId="58" applyFont="1" applyBorder="1" applyAlignment="1">
      <alignment horizontal="center"/>
      <protection/>
    </xf>
    <xf numFmtId="166" fontId="76" fillId="0" borderId="20" xfId="58" applyNumberFormat="1" applyFont="1" applyBorder="1" applyAlignment="1">
      <alignment horizontal="center"/>
      <protection/>
    </xf>
    <xf numFmtId="0" fontId="8" fillId="0" borderId="0" xfId="58">
      <alignment/>
      <protection/>
    </xf>
    <xf numFmtId="14" fontId="76" fillId="0" borderId="20" xfId="57" applyNumberFormat="1" applyFont="1" applyBorder="1" applyAlignment="1">
      <alignment horizontal="center" vertical="center" wrapText="1"/>
      <protection/>
    </xf>
    <xf numFmtId="0" fontId="7" fillId="0" borderId="0" xfId="0" applyFont="1" applyBorder="1" applyAlignment="1">
      <alignment/>
    </xf>
    <xf numFmtId="0" fontId="13" fillId="0" borderId="0" xfId="0" applyFont="1" applyBorder="1" applyAlignment="1">
      <alignment/>
    </xf>
    <xf numFmtId="0" fontId="0" fillId="0" borderId="0" xfId="0" applyBorder="1" applyAlignment="1">
      <alignment wrapText="1"/>
    </xf>
    <xf numFmtId="0" fontId="20" fillId="0" borderId="0" xfId="0" applyFont="1" applyBorder="1" applyAlignment="1">
      <alignment/>
    </xf>
    <xf numFmtId="0" fontId="0" fillId="0" borderId="0" xfId="0" applyBorder="1" applyAlignment="1">
      <alignment vertical="top"/>
    </xf>
    <xf numFmtId="0" fontId="20" fillId="0" borderId="0" xfId="0" applyNumberFormat="1" applyFont="1" applyBorder="1" applyAlignment="1">
      <alignment wrapText="1"/>
    </xf>
    <xf numFmtId="0" fontId="20" fillId="0" borderId="0" xfId="0" applyFont="1" applyBorder="1" applyAlignment="1">
      <alignment wrapText="1"/>
    </xf>
    <xf numFmtId="8" fontId="0" fillId="0" borderId="0" xfId="0" applyNumberFormat="1" applyAlignment="1">
      <alignment/>
    </xf>
    <xf numFmtId="0" fontId="73" fillId="0" borderId="0" xfId="0" applyNumberFormat="1" applyFont="1" applyAlignment="1">
      <alignment vertical="center"/>
    </xf>
    <xf numFmtId="167" fontId="73" fillId="0" borderId="0" xfId="44" applyNumberFormat="1" applyFont="1" applyAlignment="1">
      <alignment horizontal="left" vertical="center"/>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20" fillId="0" borderId="21" xfId="57" applyFont="1" applyBorder="1" applyAlignment="1">
      <alignment horizontal="left" vertical="center" wrapText="1"/>
      <protection/>
    </xf>
    <xf numFmtId="0" fontId="20" fillId="0" borderId="22" xfId="57" applyFont="1" applyBorder="1" applyAlignment="1">
      <alignment horizontal="left" vertical="center" wrapText="1"/>
      <protection/>
    </xf>
    <xf numFmtId="0" fontId="20" fillId="0" borderId="23" xfId="0" applyFont="1" applyBorder="1" applyAlignment="1">
      <alignment vertical="center"/>
    </xf>
    <xf numFmtId="0" fontId="20" fillId="0" borderId="24" xfId="0" applyFont="1" applyBorder="1" applyAlignment="1">
      <alignment/>
    </xf>
    <xf numFmtId="0" fontId="80" fillId="0" borderId="25" xfId="0" applyFont="1" applyBorder="1" applyAlignment="1">
      <alignment/>
    </xf>
    <xf numFmtId="0" fontId="8" fillId="0" borderId="11" xfId="56" applyFont="1" applyBorder="1" applyAlignment="1">
      <alignment horizontal="left" vertical="center" wrapText="1" indent="1"/>
      <protection/>
    </xf>
    <xf numFmtId="0" fontId="81" fillId="0" borderId="0" xfId="0" applyNumberFormat="1" applyFont="1" applyBorder="1" applyAlignment="1">
      <alignment wrapText="1"/>
    </xf>
    <xf numFmtId="0" fontId="8" fillId="0" borderId="20" xfId="0" applyNumberFormat="1" applyFont="1" applyBorder="1" applyAlignment="1">
      <alignment wrapText="1"/>
    </xf>
    <xf numFmtId="0" fontId="76" fillId="0" borderId="11" xfId="56" applyFont="1" applyBorder="1" applyAlignment="1">
      <alignment horizontal="center" vertical="center" wrapText="1"/>
      <protection/>
    </xf>
    <xf numFmtId="0" fontId="20" fillId="0" borderId="26" xfId="56" applyFont="1" applyBorder="1" applyAlignment="1">
      <alignment horizontal="left" vertical="center" wrapText="1"/>
      <protection/>
    </xf>
    <xf numFmtId="0" fontId="76" fillId="0" borderId="27" xfId="0" applyFont="1" applyBorder="1" applyAlignment="1">
      <alignment horizontal="center" vertical="center" wrapText="1"/>
    </xf>
    <xf numFmtId="0" fontId="8" fillId="0" borderId="28" xfId="0" applyFont="1" applyBorder="1" applyAlignment="1">
      <alignment horizontal="left" vertical="center" wrapText="1"/>
    </xf>
    <xf numFmtId="0" fontId="76" fillId="33" borderId="29" xfId="56" applyFont="1" applyFill="1" applyBorder="1" applyAlignment="1">
      <alignment horizontal="center" vertical="center" wrapText="1"/>
      <protection/>
    </xf>
    <xf numFmtId="0" fontId="8" fillId="33" borderId="29" xfId="56" applyFont="1" applyFill="1" applyBorder="1" applyAlignment="1">
      <alignment horizontal="left" vertical="center" wrapText="1" indent="1"/>
      <protection/>
    </xf>
    <xf numFmtId="0" fontId="76" fillId="33" borderId="0" xfId="56" applyFont="1" applyFill="1" applyBorder="1" applyAlignment="1">
      <alignment horizontal="center" vertical="center" wrapText="1"/>
      <protection/>
    </xf>
    <xf numFmtId="0" fontId="8" fillId="33" borderId="0" xfId="56" applyFont="1" applyFill="1" applyBorder="1" applyAlignment="1">
      <alignment horizontal="left" vertical="center" wrapText="1" indent="1"/>
      <protection/>
    </xf>
    <xf numFmtId="0" fontId="0" fillId="0" borderId="0" xfId="0" applyAlignment="1">
      <alignment horizontal="center"/>
    </xf>
    <xf numFmtId="0" fontId="20" fillId="0" borderId="0" xfId="0" applyFont="1" applyBorder="1" applyAlignment="1">
      <alignment horizontal="left" wrapText="1"/>
    </xf>
    <xf numFmtId="0" fontId="8" fillId="0" borderId="0" xfId="0" applyFont="1" applyFill="1" applyBorder="1" applyAlignment="1">
      <alignment vertical="center" wrapText="1"/>
    </xf>
    <xf numFmtId="0" fontId="82" fillId="0" borderId="0" xfId="0" applyFont="1" applyBorder="1" applyAlignment="1">
      <alignment/>
    </xf>
    <xf numFmtId="0" fontId="82" fillId="0" borderId="0" xfId="0" applyFont="1" applyAlignment="1">
      <alignment/>
    </xf>
    <xf numFmtId="0" fontId="83" fillId="0" borderId="0" xfId="0" applyFont="1" applyAlignment="1">
      <alignment horizontal="right"/>
    </xf>
    <xf numFmtId="14" fontId="83" fillId="0" borderId="0" xfId="0" applyNumberFormat="1" applyFont="1" applyAlignment="1">
      <alignment horizontal="left"/>
    </xf>
    <xf numFmtId="169" fontId="0" fillId="0" borderId="0" xfId="44" applyNumberFormat="1" applyFont="1" applyBorder="1" applyAlignment="1">
      <alignment/>
    </xf>
    <xf numFmtId="169" fontId="8" fillId="37" borderId="0" xfId="44" applyNumberFormat="1" applyFont="1" applyFill="1" applyBorder="1" applyAlignment="1" applyProtection="1">
      <alignment horizontal="right"/>
      <protection hidden="1"/>
    </xf>
    <xf numFmtId="169" fontId="8" fillId="0" borderId="0" xfId="44" applyNumberFormat="1" applyFont="1" applyFill="1" applyBorder="1" applyAlignment="1">
      <alignment horizontal="right"/>
    </xf>
    <xf numFmtId="0" fontId="84" fillId="0" borderId="0" xfId="0" applyFont="1" applyAlignment="1">
      <alignment/>
    </xf>
    <xf numFmtId="0" fontId="20" fillId="0" borderId="0" xfId="0" applyFont="1" applyAlignment="1">
      <alignment/>
    </xf>
    <xf numFmtId="0" fontId="8" fillId="0" borderId="0" xfId="0" applyFont="1" applyAlignment="1">
      <alignment/>
    </xf>
    <xf numFmtId="9" fontId="11" fillId="0" borderId="0" xfId="0" applyNumberFormat="1" applyFont="1" applyAlignment="1">
      <alignment/>
    </xf>
    <xf numFmtId="169" fontId="0" fillId="0" borderId="0" xfId="44" applyNumberFormat="1" applyFont="1" applyAlignment="1">
      <alignment/>
    </xf>
    <xf numFmtId="0" fontId="71" fillId="0" borderId="0" xfId="0" applyFont="1" applyBorder="1" applyAlignment="1">
      <alignment/>
    </xf>
    <xf numFmtId="0" fontId="71" fillId="0" borderId="0" xfId="0" applyFont="1" applyFill="1" applyBorder="1" applyAlignment="1">
      <alignment/>
    </xf>
    <xf numFmtId="0" fontId="71" fillId="0" borderId="10" xfId="0" applyFont="1" applyBorder="1" applyAlignment="1">
      <alignment/>
    </xf>
    <xf numFmtId="0" fontId="85" fillId="0" borderId="0" xfId="0" applyFont="1" applyAlignment="1">
      <alignment/>
    </xf>
    <xf numFmtId="0" fontId="86" fillId="0" borderId="0" xfId="0" applyFont="1" applyBorder="1" applyAlignment="1">
      <alignment horizontal="center"/>
    </xf>
    <xf numFmtId="169" fontId="82" fillId="0" borderId="0" xfId="44" applyNumberFormat="1" applyFont="1" applyBorder="1" applyAlignment="1">
      <alignment horizontal="right"/>
    </xf>
    <xf numFmtId="169" fontId="82" fillId="0" borderId="0" xfId="44" applyNumberFormat="1" applyFont="1" applyFill="1" applyBorder="1" applyAlignment="1">
      <alignment horizontal="right"/>
    </xf>
    <xf numFmtId="169" fontId="82" fillId="0" borderId="10" xfId="44" applyNumberFormat="1" applyFont="1" applyFill="1" applyBorder="1" applyAlignment="1">
      <alignment horizontal="right"/>
    </xf>
    <xf numFmtId="169" fontId="82" fillId="0" borderId="0" xfId="44" applyNumberFormat="1" applyFont="1" applyBorder="1" applyAlignment="1">
      <alignment/>
    </xf>
    <xf numFmtId="0" fontId="20" fillId="0" borderId="30" xfId="0" applyFont="1" applyFill="1" applyBorder="1" applyAlignment="1">
      <alignment/>
    </xf>
    <xf numFmtId="43" fontId="82" fillId="0" borderId="31" xfId="0" applyNumberFormat="1" applyFont="1" applyBorder="1" applyAlignment="1">
      <alignment/>
    </xf>
    <xf numFmtId="43" fontId="82" fillId="0" borderId="32" xfId="0" applyNumberFormat="1" applyFont="1" applyBorder="1" applyAlignment="1">
      <alignment/>
    </xf>
    <xf numFmtId="0" fontId="87" fillId="0" borderId="0" xfId="0" applyFont="1" applyAlignment="1">
      <alignment/>
    </xf>
    <xf numFmtId="168" fontId="82" fillId="0" borderId="0" xfId="0" applyNumberFormat="1" applyFont="1" applyAlignment="1">
      <alignment/>
    </xf>
    <xf numFmtId="0" fontId="82" fillId="0" borderId="0" xfId="0" applyFont="1" applyAlignment="1">
      <alignment horizontal="center" vertical="center"/>
    </xf>
    <xf numFmtId="0" fontId="82" fillId="0" borderId="0" xfId="0" applyNumberFormat="1" applyFont="1" applyAlignment="1">
      <alignment horizontal="center" vertical="center"/>
    </xf>
    <xf numFmtId="0" fontId="82" fillId="0" borderId="0" xfId="0" applyFont="1" applyBorder="1" applyAlignment="1">
      <alignment vertical="center"/>
    </xf>
    <xf numFmtId="167" fontId="8" fillId="0" borderId="33" xfId="44" applyNumberFormat="1" applyFont="1" applyBorder="1" applyAlignment="1">
      <alignment horizontal="left" vertical="center"/>
    </xf>
    <xf numFmtId="164" fontId="88" fillId="0" borderId="33" xfId="44" applyNumberFormat="1" applyFont="1" applyBorder="1" applyAlignment="1">
      <alignment horizontal="center" vertical="center"/>
    </xf>
    <xf numFmtId="167" fontId="88" fillId="0" borderId="33" xfId="44" applyNumberFormat="1" applyFont="1" applyBorder="1" applyAlignment="1">
      <alignment horizontal="left" vertical="center"/>
    </xf>
    <xf numFmtId="164" fontId="88" fillId="0" borderId="33" xfId="44" applyNumberFormat="1" applyFont="1" applyBorder="1" applyAlignment="1">
      <alignment horizontal="left" vertical="center"/>
    </xf>
    <xf numFmtId="167" fontId="88" fillId="0" borderId="33" xfId="44" applyNumberFormat="1" applyFont="1" applyFill="1" applyBorder="1" applyAlignment="1">
      <alignment horizontal="left" vertical="center"/>
    </xf>
    <xf numFmtId="164" fontId="88" fillId="0" borderId="33" xfId="44" applyNumberFormat="1" applyFont="1" applyFill="1" applyBorder="1" applyAlignment="1">
      <alignment horizontal="center" vertical="center"/>
    </xf>
    <xf numFmtId="167" fontId="88" fillId="0" borderId="0" xfId="44" applyNumberFormat="1" applyFont="1" applyBorder="1" applyAlignment="1">
      <alignment horizontal="left" vertical="center"/>
    </xf>
    <xf numFmtId="164" fontId="88" fillId="0" borderId="0" xfId="44" applyNumberFormat="1" applyFont="1" applyBorder="1" applyAlignment="1">
      <alignment horizontal="left" vertical="center"/>
    </xf>
    <xf numFmtId="164" fontId="88" fillId="0" borderId="0" xfId="44" applyNumberFormat="1" applyFont="1" applyBorder="1" applyAlignment="1">
      <alignment horizontal="center" vertical="center"/>
    </xf>
    <xf numFmtId="164" fontId="82" fillId="0" borderId="0" xfId="0" applyNumberFormat="1" applyFont="1" applyAlignment="1">
      <alignment vertical="center"/>
    </xf>
    <xf numFmtId="0" fontId="82" fillId="0" borderId="0" xfId="0" applyNumberFormat="1" applyFont="1" applyAlignment="1">
      <alignment vertical="center"/>
    </xf>
    <xf numFmtId="167" fontId="82" fillId="0" borderId="0" xfId="44" applyNumberFormat="1" applyFont="1" applyAlignment="1">
      <alignment horizontal="left" vertical="center"/>
    </xf>
    <xf numFmtId="164" fontId="82" fillId="0" borderId="0" xfId="44" applyNumberFormat="1" applyFont="1" applyAlignment="1">
      <alignment horizontal="left" vertical="center"/>
    </xf>
    <xf numFmtId="164" fontId="82" fillId="0" borderId="0" xfId="44" applyNumberFormat="1" applyFont="1" applyAlignment="1">
      <alignment vertical="center"/>
    </xf>
    <xf numFmtId="164" fontId="82" fillId="0" borderId="0" xfId="44" applyNumberFormat="1" applyFont="1" applyAlignment="1">
      <alignment horizontal="center" vertical="center"/>
    </xf>
    <xf numFmtId="0" fontId="82" fillId="0" borderId="0" xfId="0" applyFont="1" applyAlignment="1">
      <alignment vertical="center"/>
    </xf>
    <xf numFmtId="167" fontId="20" fillId="4" borderId="33" xfId="44" applyNumberFormat="1" applyFont="1" applyFill="1" applyBorder="1" applyAlignment="1">
      <alignment horizontal="center" vertical="center"/>
    </xf>
    <xf numFmtId="0" fontId="20" fillId="4" borderId="33" xfId="44" applyNumberFormat="1" applyFont="1" applyFill="1" applyBorder="1" applyAlignment="1">
      <alignment horizontal="center" vertical="center"/>
    </xf>
    <xf numFmtId="0" fontId="20" fillId="38" borderId="20" xfId="0" applyNumberFormat="1" applyFont="1" applyFill="1" applyBorder="1" applyAlignment="1">
      <alignment horizontal="left" vertical="center"/>
    </xf>
    <xf numFmtId="167" fontId="20" fillId="4" borderId="20" xfId="42" applyNumberFormat="1" applyFont="1" applyFill="1" applyBorder="1" applyAlignment="1">
      <alignment horizontal="center" vertical="center"/>
    </xf>
    <xf numFmtId="166" fontId="20" fillId="4" borderId="20" xfId="61" applyNumberFormat="1" applyFont="1" applyFill="1" applyBorder="1" applyAlignment="1">
      <alignment horizontal="center" vertical="center"/>
    </xf>
    <xf numFmtId="164" fontId="87" fillId="0" borderId="20" xfId="44" applyNumberFormat="1" applyFont="1" applyBorder="1" applyAlignment="1">
      <alignment horizontal="left" vertical="center"/>
    </xf>
    <xf numFmtId="10" fontId="82" fillId="0" borderId="0" xfId="61" applyNumberFormat="1" applyFont="1" applyAlignment="1">
      <alignment horizontal="left" vertical="center"/>
    </xf>
    <xf numFmtId="0" fontId="20" fillId="0" borderId="0" xfId="0" applyFont="1" applyFill="1" applyAlignment="1">
      <alignment horizontal="right"/>
    </xf>
    <xf numFmtId="169" fontId="20" fillId="0" borderId="20" xfId="44" applyNumberFormat="1" applyFont="1" applyFill="1" applyBorder="1" applyAlignment="1">
      <alignment/>
    </xf>
    <xf numFmtId="169" fontId="20" fillId="0" borderId="0" xfId="44" applyNumberFormat="1" applyFont="1" applyFill="1" applyAlignment="1">
      <alignment/>
    </xf>
    <xf numFmtId="0" fontId="38" fillId="0" borderId="0" xfId="58" applyFont="1">
      <alignment/>
      <protection/>
    </xf>
    <xf numFmtId="166" fontId="22" fillId="36" borderId="20" xfId="0" applyNumberFormat="1" applyFont="1" applyFill="1" applyBorder="1" applyAlignment="1">
      <alignment horizontal="right"/>
    </xf>
    <xf numFmtId="0" fontId="89" fillId="0" borderId="0" xfId="0" applyFont="1" applyBorder="1" applyAlignment="1">
      <alignment/>
    </xf>
    <xf numFmtId="0" fontId="71" fillId="0" borderId="10" xfId="0" applyFont="1" applyFill="1" applyBorder="1" applyAlignment="1">
      <alignment/>
    </xf>
    <xf numFmtId="0" fontId="71" fillId="0" borderId="34" xfId="0" applyFont="1" applyBorder="1" applyAlignment="1">
      <alignment/>
    </xf>
    <xf numFmtId="165" fontId="0" fillId="0" borderId="35" xfId="42" applyNumberFormat="1" applyFont="1" applyBorder="1" applyAlignment="1">
      <alignment/>
    </xf>
    <xf numFmtId="165" fontId="0" fillId="0" borderId="36" xfId="42" applyNumberFormat="1" applyFont="1" applyBorder="1" applyAlignment="1">
      <alignment/>
    </xf>
    <xf numFmtId="0" fontId="71" fillId="0" borderId="18" xfId="0" applyFont="1" applyBorder="1" applyAlignment="1">
      <alignment/>
    </xf>
    <xf numFmtId="10" fontId="0" fillId="0" borderId="10" xfId="0" applyNumberFormat="1" applyBorder="1" applyAlignment="1">
      <alignment/>
    </xf>
    <xf numFmtId="10" fontId="0" fillId="0" borderId="19" xfId="0" applyNumberFormat="1" applyBorder="1" applyAlignment="1">
      <alignment/>
    </xf>
    <xf numFmtId="0" fontId="71" fillId="2" borderId="0" xfId="0" applyFont="1" applyFill="1" applyAlignment="1">
      <alignment/>
    </xf>
    <xf numFmtId="0" fontId="71" fillId="2" borderId="0" xfId="0" applyFont="1" applyFill="1" applyAlignment="1">
      <alignment horizontal="right"/>
    </xf>
    <xf numFmtId="0" fontId="84" fillId="0" borderId="0" xfId="0" applyFont="1" applyBorder="1" applyAlignment="1">
      <alignment horizontal="center"/>
    </xf>
    <xf numFmtId="0" fontId="84" fillId="0" borderId="0" xfId="0" applyFont="1" applyAlignment="1">
      <alignment horizontal="center"/>
    </xf>
    <xf numFmtId="0" fontId="84" fillId="0" borderId="35" xfId="0" applyFont="1" applyBorder="1" applyAlignment="1">
      <alignment horizontal="center"/>
    </xf>
    <xf numFmtId="0" fontId="84" fillId="0" borderId="10" xfId="0" applyFont="1" applyFill="1" applyBorder="1" applyAlignment="1">
      <alignment horizontal="center"/>
    </xf>
    <xf numFmtId="0" fontId="84" fillId="0" borderId="0" xfId="0" applyFont="1" applyFill="1" applyBorder="1" applyAlignment="1">
      <alignment horizontal="center"/>
    </xf>
    <xf numFmtId="0" fontId="8" fillId="0" borderId="30" xfId="0" applyFont="1" applyBorder="1" applyAlignment="1">
      <alignment/>
    </xf>
    <xf numFmtId="9" fontId="11" fillId="0" borderId="32" xfId="0" applyNumberFormat="1" applyFont="1" applyBorder="1" applyAlignment="1">
      <alignment/>
    </xf>
    <xf numFmtId="0" fontId="23" fillId="0" borderId="0" xfId="0" applyFont="1" applyAlignment="1">
      <alignment/>
    </xf>
    <xf numFmtId="0" fontId="8" fillId="0" borderId="20" xfId="58" applyFont="1" applyBorder="1" applyAlignment="1">
      <alignment horizontal="center"/>
      <protection/>
    </xf>
    <xf numFmtId="0" fontId="8" fillId="0" borderId="20" xfId="56" applyBorder="1" applyAlignment="1">
      <alignment horizontal="center"/>
      <protection/>
    </xf>
    <xf numFmtId="0" fontId="20" fillId="0" borderId="20" xfId="58" applyFont="1" applyBorder="1" applyAlignment="1">
      <alignment horizontal="center"/>
      <protection/>
    </xf>
    <xf numFmtId="166" fontId="8" fillId="0" borderId="20" xfId="56" applyNumberFormat="1" applyBorder="1" applyAlignment="1">
      <alignment horizontal="center"/>
      <protection/>
    </xf>
    <xf numFmtId="14" fontId="8" fillId="0" borderId="20" xfId="56" applyNumberFormat="1" applyBorder="1" applyAlignment="1">
      <alignment horizontal="center"/>
      <protection/>
    </xf>
    <xf numFmtId="0" fontId="20" fillId="0" borderId="0" xfId="57" applyFont="1" applyBorder="1" applyAlignment="1">
      <alignment vertical="center"/>
      <protection/>
    </xf>
    <xf numFmtId="0" fontId="82" fillId="0" borderId="0" xfId="0" applyNumberFormat="1" applyFont="1" applyBorder="1" applyAlignment="1">
      <alignment wrapText="1"/>
    </xf>
    <xf numFmtId="0" fontId="82" fillId="0" borderId="0" xfId="0" applyFont="1" applyBorder="1" applyAlignment="1">
      <alignment wrapText="1"/>
    </xf>
    <xf numFmtId="0" fontId="20" fillId="0" borderId="25" xfId="0" applyFont="1" applyBorder="1" applyAlignment="1">
      <alignment/>
    </xf>
    <xf numFmtId="0" fontId="8" fillId="0" borderId="0" xfId="0" applyNumberFormat="1" applyFont="1" applyBorder="1" applyAlignment="1">
      <alignment wrapText="1"/>
    </xf>
    <xf numFmtId="0" fontId="87" fillId="0" borderId="0" xfId="0" applyFont="1" applyBorder="1" applyAlignment="1">
      <alignment horizontal="right"/>
    </xf>
    <xf numFmtId="0" fontId="87" fillId="0" borderId="0" xfId="0" applyFont="1" applyBorder="1" applyAlignment="1">
      <alignment/>
    </xf>
    <xf numFmtId="167" fontId="8" fillId="0" borderId="37" xfId="44" applyNumberFormat="1" applyFont="1" applyBorder="1" applyAlignment="1">
      <alignment horizontal="left" vertical="center"/>
    </xf>
    <xf numFmtId="167" fontId="88" fillId="0" borderId="37" xfId="44" applyNumberFormat="1" applyFont="1" applyBorder="1" applyAlignment="1">
      <alignment horizontal="left" vertical="center"/>
    </xf>
    <xf numFmtId="167" fontId="88" fillId="0" borderId="37" xfId="44" applyNumberFormat="1" applyFont="1" applyFill="1" applyBorder="1" applyAlignment="1">
      <alignment horizontal="left" vertical="center"/>
    </xf>
    <xf numFmtId="167" fontId="87" fillId="0" borderId="32" xfId="44" applyNumberFormat="1" applyFont="1" applyBorder="1" applyAlignment="1">
      <alignment horizontal="left" vertical="center"/>
    </xf>
    <xf numFmtId="0" fontId="82" fillId="0" borderId="38" xfId="0" applyFont="1" applyBorder="1" applyAlignment="1">
      <alignment vertical="center"/>
    </xf>
    <xf numFmtId="0" fontId="82" fillId="0" borderId="39" xfId="0" applyFont="1" applyBorder="1" applyAlignment="1">
      <alignment vertical="center"/>
    </xf>
    <xf numFmtId="0" fontId="20" fillId="0" borderId="40" xfId="0" applyNumberFormat="1" applyFont="1" applyBorder="1" applyAlignment="1">
      <alignment vertical="center"/>
    </xf>
    <xf numFmtId="164" fontId="82" fillId="0" borderId="0" xfId="44" applyNumberFormat="1" applyFont="1" applyAlignment="1">
      <alignment horizontal="right" vertical="center"/>
    </xf>
    <xf numFmtId="10" fontId="20" fillId="0" borderId="41" xfId="61" applyNumberFormat="1" applyFont="1" applyFill="1" applyBorder="1" applyAlignment="1">
      <alignment horizontal="left" wrapText="1"/>
    </xf>
    <xf numFmtId="10" fontId="90" fillId="0" borderId="42" xfId="61" applyNumberFormat="1" applyFont="1" applyFill="1" applyBorder="1" applyAlignment="1">
      <alignment horizontal="left" wrapText="1"/>
    </xf>
    <xf numFmtId="10" fontId="90" fillId="0" borderId="42" xfId="61" applyNumberFormat="1" applyFont="1" applyBorder="1" applyAlignment="1">
      <alignment horizontal="left" wrapText="1"/>
    </xf>
    <xf numFmtId="166" fontId="90" fillId="0" borderId="42" xfId="61" applyNumberFormat="1" applyFont="1" applyFill="1" applyBorder="1" applyAlignment="1">
      <alignment horizontal="left" wrapText="1"/>
    </xf>
    <xf numFmtId="0" fontId="82" fillId="0" borderId="43" xfId="0" applyFont="1" applyBorder="1" applyAlignment="1">
      <alignment vertical="center"/>
    </xf>
    <xf numFmtId="10" fontId="90" fillId="0" borderId="44" xfId="61" applyNumberFormat="1" applyFont="1" applyBorder="1" applyAlignment="1">
      <alignment horizontal="left" wrapText="1"/>
    </xf>
    <xf numFmtId="0" fontId="7" fillId="0" borderId="0" xfId="0" applyFont="1" applyAlignment="1">
      <alignment horizontal="center" vertical="center"/>
    </xf>
    <xf numFmtId="0" fontId="8" fillId="0" borderId="0" xfId="0" applyFont="1" applyBorder="1" applyAlignment="1">
      <alignment horizontal="left" vertical="top" wrapText="1"/>
    </xf>
    <xf numFmtId="0" fontId="82" fillId="0" borderId="0" xfId="0" applyFont="1" applyBorder="1" applyAlignment="1">
      <alignment horizontal="left" wrapText="1"/>
    </xf>
    <xf numFmtId="0" fontId="0" fillId="0" borderId="0" xfId="0" applyBorder="1" applyAlignment="1">
      <alignment horizontal="left" vertical="top"/>
    </xf>
    <xf numFmtId="0" fontId="0" fillId="0" borderId="0" xfId="0" applyAlignment="1">
      <alignment horizontal="left" wrapText="1"/>
    </xf>
    <xf numFmtId="0" fontId="16" fillId="0" borderId="20" xfId="0" applyFont="1" applyBorder="1" applyAlignment="1">
      <alignment horizontal="left" vertical="center"/>
    </xf>
    <xf numFmtId="0" fontId="16" fillId="0" borderId="12" xfId="0" applyFont="1" applyBorder="1" applyAlignment="1">
      <alignment horizontal="left" vertical="center"/>
    </xf>
    <xf numFmtId="0" fontId="16" fillId="0" borderId="20"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20" fillId="2" borderId="33" xfId="0" applyNumberFormat="1" applyFont="1" applyFill="1" applyBorder="1" applyAlignment="1">
      <alignment horizontal="center" vertical="center"/>
    </xf>
    <xf numFmtId="164" fontId="20" fillId="2" borderId="33" xfId="44" applyNumberFormat="1" applyFont="1" applyFill="1" applyBorder="1" applyAlignment="1">
      <alignment horizontal="center" vertical="center"/>
    </xf>
    <xf numFmtId="0" fontId="91" fillId="33"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nsolidatedAg_IM_Clean" xfId="57"/>
    <cellStyle name="Normal_Mongolia Health ERR.IM Cleaned - v15" xfId="58"/>
    <cellStyle name="Note" xfId="59"/>
    <cellStyle name="Output" xfId="60"/>
    <cellStyle name="Percent" xfId="61"/>
    <cellStyle name="Title" xfId="62"/>
    <cellStyle name="Total" xfId="63"/>
    <cellStyle name="Warning Text" xfId="64"/>
  </cellStyles>
  <dxfs count="6">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Undiscounted annual net benefits of Community Infrastructure Project</a:t>
            </a:r>
          </a:p>
        </c:rich>
      </c:tx>
      <c:layout>
        <c:manualLayout>
          <c:xMode val="factor"/>
          <c:yMode val="factor"/>
          <c:x val="-0.00425"/>
          <c:y val="0"/>
        </c:manualLayout>
      </c:layout>
      <c:spPr>
        <a:noFill/>
        <a:ln w="3175">
          <a:noFill/>
        </a:ln>
      </c:spPr>
    </c:title>
    <c:plotArea>
      <c:layout>
        <c:manualLayout>
          <c:xMode val="edge"/>
          <c:yMode val="edge"/>
          <c:x val="0.05775"/>
          <c:y val="0.14375"/>
          <c:w val="0.92725"/>
          <c:h val="0.758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'[2]Community Infr ERR'!$C$12:$V$12</c:f>
              <c:numCache>
                <c:ptCount val="20"/>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numCache>
            </c:numRef>
          </c:cat>
          <c:val>
            <c:numRef>
              <c:f>'[2]Community Infr ERR'!$C$26:$V$26</c:f>
              <c:numCache>
                <c:ptCount val="20"/>
                <c:pt idx="0">
                  <c:v>-22633.56905246</c:v>
                </c:pt>
                <c:pt idx="1">
                  <c:v>-197604.38183021243</c:v>
                </c:pt>
                <c:pt idx="2">
                  <c:v>-905590.6304558512</c:v>
                </c:pt>
                <c:pt idx="3">
                  <c:v>-6687182.72258585</c:v>
                </c:pt>
                <c:pt idx="4">
                  <c:v>501387.1865970886</c:v>
                </c:pt>
                <c:pt idx="5">
                  <c:v>1509667.0051408382</c:v>
                </c:pt>
                <c:pt idx="6">
                  <c:v>1474527.1332691999</c:v>
                </c:pt>
                <c:pt idx="7">
                  <c:v>1482379.329913699</c:v>
                </c:pt>
                <c:pt idx="8">
                  <c:v>1490016.6116067232</c:v>
                </c:pt>
                <c:pt idx="9">
                  <c:v>1497445.8740897323</c:v>
                </c:pt>
                <c:pt idx="10">
                  <c:v>1504672.7796783214</c:v>
                </c:pt>
                <c:pt idx="11">
                  <c:v>1511702.8471824566</c:v>
                </c:pt>
                <c:pt idx="12">
                  <c:v>1518541.4343736558</c:v>
                </c:pt>
                <c:pt idx="13">
                  <c:v>1525193.7566656</c:v>
                </c:pt>
                <c:pt idx="14">
                  <c:v>1531664.8874179944</c:v>
                </c:pt>
                <c:pt idx="15">
                  <c:v>1537959.7618057395</c:v>
                </c:pt>
                <c:pt idx="16">
                  <c:v>1544083.1805827166</c:v>
                </c:pt>
                <c:pt idx="17">
                  <c:v>1550039.8137430602</c:v>
                </c:pt>
                <c:pt idx="18">
                  <c:v>1555834.2040827028</c:v>
                </c:pt>
                <c:pt idx="19">
                  <c:v>1561470.7706639166</c:v>
                </c:pt>
              </c:numCache>
            </c:numRef>
          </c:val>
        </c:ser>
        <c:gapWidth val="0"/>
        <c:axId val="65695801"/>
        <c:axId val="54391298"/>
      </c:barChart>
      <c:catAx>
        <c:axId val="65695801"/>
        <c:scaling>
          <c:orientation val="minMax"/>
        </c:scaling>
        <c:axPos val="b"/>
        <c:title>
          <c:tx>
            <c:rich>
              <a:bodyPr vert="horz" rot="0" anchor="ctr"/>
              <a:lstStyle/>
              <a:p>
                <a:pPr algn="ctr">
                  <a:defRPr/>
                </a:pPr>
                <a:r>
                  <a:rPr lang="en-US" cap="none" sz="1050" b="1" i="0" u="none" baseline="0">
                    <a:solidFill>
                      <a:srgbClr val="000000"/>
                    </a:solidFill>
                  </a:rPr>
                  <a:t>Year</a:t>
                </a:r>
              </a:p>
            </c:rich>
          </c:tx>
          <c:layout>
            <c:manualLayout>
              <c:xMode val="factor"/>
              <c:yMode val="factor"/>
              <c:x val="0.004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50" b="0" i="0" u="none" baseline="0">
                <a:solidFill>
                  <a:srgbClr val="000000"/>
                </a:solidFill>
              </a:defRPr>
            </a:pPr>
          </a:p>
        </c:txPr>
        <c:crossAx val="54391298"/>
        <c:crosses val="autoZero"/>
        <c:auto val="1"/>
        <c:lblOffset val="100"/>
        <c:tickLblSkip val="1"/>
        <c:noMultiLvlLbl val="0"/>
      </c:catAx>
      <c:valAx>
        <c:axId val="54391298"/>
        <c:scaling>
          <c:orientation val="minMax"/>
        </c:scaling>
        <c:axPos val="l"/>
        <c:title>
          <c:tx>
            <c:rich>
              <a:bodyPr vert="horz" rot="-5400000" anchor="ctr"/>
              <a:lstStyle/>
              <a:p>
                <a:pPr algn="ctr">
                  <a:defRPr/>
                </a:pPr>
                <a:r>
                  <a:rPr lang="en-US" cap="none" sz="1050" b="1" i="0" u="none" baseline="0">
                    <a:solidFill>
                      <a:srgbClr val="000000"/>
                    </a:solidFill>
                  </a:rPr>
                  <a:t>US$</a:t>
                </a:r>
              </a:p>
            </c:rich>
          </c:tx>
          <c:layout>
            <c:manualLayout>
              <c:xMode val="factor"/>
              <c:yMode val="factor"/>
              <c:x val="-0.0237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95801"/>
        <c:crossesAt val="1"/>
        <c:crossBetween val="between"/>
        <c:dispUnits/>
      </c:valAx>
      <c:spPr>
        <a:no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209550</xdr:colOff>
      <xdr:row>5</xdr:row>
      <xdr:rowOff>66675</xdr:rowOff>
    </xdr:to>
    <xdr:pic>
      <xdr:nvPicPr>
        <xdr:cNvPr id="1" name="Picture 1"/>
        <xdr:cNvPicPr preferRelativeResize="1">
          <a:picLocks noChangeAspect="1"/>
        </xdr:cNvPicPr>
      </xdr:nvPicPr>
      <xdr:blipFill>
        <a:blip r:embed="rId1"/>
        <a:stretch>
          <a:fillRect/>
        </a:stretch>
      </xdr:blipFill>
      <xdr:spPr>
        <a:xfrm>
          <a:off x="514350" y="161925"/>
          <a:ext cx="26574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21</xdr:row>
      <xdr:rowOff>19050</xdr:rowOff>
    </xdr:from>
    <xdr:to>
      <xdr:col>1</xdr:col>
      <xdr:colOff>2295525</xdr:colOff>
      <xdr:row>22</xdr:row>
      <xdr:rowOff>28575</xdr:rowOff>
    </xdr:to>
    <xdr:pic>
      <xdr:nvPicPr>
        <xdr:cNvPr id="1" name="Picture 1" descr="MCC horizontal"/>
        <xdr:cNvPicPr preferRelativeResize="1">
          <a:picLocks noChangeAspect="1"/>
        </xdr:cNvPicPr>
      </xdr:nvPicPr>
      <xdr:blipFill>
        <a:blip r:embed="rId1"/>
        <a:stretch>
          <a:fillRect/>
        </a:stretch>
      </xdr:blipFill>
      <xdr:spPr>
        <a:xfrm>
          <a:off x="542925" y="6753225"/>
          <a:ext cx="226695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25</xdr:row>
      <xdr:rowOff>85725</xdr:rowOff>
    </xdr:from>
    <xdr:to>
      <xdr:col>6</xdr:col>
      <xdr:colOff>76200</xdr:colOff>
      <xdr:row>52</xdr:row>
      <xdr:rowOff>38100</xdr:rowOff>
    </xdr:to>
    <xdr:graphicFrame>
      <xdr:nvGraphicFramePr>
        <xdr:cNvPr id="1" name="Chart 1"/>
        <xdr:cNvGraphicFramePr/>
      </xdr:nvGraphicFramePr>
      <xdr:xfrm>
        <a:off x="1981200" y="5743575"/>
        <a:ext cx="6867525" cy="5067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200025</xdr:colOff>
      <xdr:row>1</xdr:row>
      <xdr:rowOff>266700</xdr:rowOff>
    </xdr:from>
    <xdr:to>
      <xdr:col>7</xdr:col>
      <xdr:colOff>419100</xdr:colOff>
      <xdr:row>3</xdr:row>
      <xdr:rowOff>9525</xdr:rowOff>
    </xdr:to>
    <xdr:pic>
      <xdr:nvPicPr>
        <xdr:cNvPr id="2" name="Picture 4" descr="MCC horizontal"/>
        <xdr:cNvPicPr preferRelativeResize="1">
          <a:picLocks noChangeAspect="1"/>
        </xdr:cNvPicPr>
      </xdr:nvPicPr>
      <xdr:blipFill>
        <a:blip r:embed="rId2"/>
        <a:stretch>
          <a:fillRect/>
        </a:stretch>
      </xdr:blipFill>
      <xdr:spPr>
        <a:xfrm>
          <a:off x="7924800" y="428625"/>
          <a:ext cx="226695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1</xdr:row>
      <xdr:rowOff>104775</xdr:rowOff>
    </xdr:from>
    <xdr:to>
      <xdr:col>8</xdr:col>
      <xdr:colOff>504825</xdr:colOff>
      <xdr:row>2</xdr:row>
      <xdr:rowOff>9525</xdr:rowOff>
    </xdr:to>
    <xdr:pic>
      <xdr:nvPicPr>
        <xdr:cNvPr id="1" name="Picture 1" descr="MCC horizontal"/>
        <xdr:cNvPicPr preferRelativeResize="1">
          <a:picLocks noChangeAspect="1"/>
        </xdr:cNvPicPr>
      </xdr:nvPicPr>
      <xdr:blipFill>
        <a:blip r:embed="rId1"/>
        <a:stretch>
          <a:fillRect/>
        </a:stretch>
      </xdr:blipFill>
      <xdr:spPr>
        <a:xfrm>
          <a:off x="7239000" y="295275"/>
          <a:ext cx="276225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xdr:row>
      <xdr:rowOff>104775</xdr:rowOff>
    </xdr:from>
    <xdr:to>
      <xdr:col>8</xdr:col>
      <xdr:colOff>161925</xdr:colOff>
      <xdr:row>3</xdr:row>
      <xdr:rowOff>9525</xdr:rowOff>
    </xdr:to>
    <xdr:pic>
      <xdr:nvPicPr>
        <xdr:cNvPr id="1" name="Picture 1" descr="MCC horizontal"/>
        <xdr:cNvPicPr preferRelativeResize="1">
          <a:picLocks noChangeAspect="1"/>
        </xdr:cNvPicPr>
      </xdr:nvPicPr>
      <xdr:blipFill>
        <a:blip r:embed="rId1"/>
        <a:stretch>
          <a:fillRect/>
        </a:stretch>
      </xdr:blipFill>
      <xdr:spPr>
        <a:xfrm>
          <a:off x="4095750" y="295275"/>
          <a:ext cx="2647950"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1</xdr:row>
      <xdr:rowOff>266700</xdr:rowOff>
    </xdr:from>
    <xdr:to>
      <xdr:col>7</xdr:col>
      <xdr:colOff>704850</xdr:colOff>
      <xdr:row>3</xdr:row>
      <xdr:rowOff>9525</xdr:rowOff>
    </xdr:to>
    <xdr:pic>
      <xdr:nvPicPr>
        <xdr:cNvPr id="1" name="Picture 1" descr="MCC horizontal"/>
        <xdr:cNvPicPr preferRelativeResize="1">
          <a:picLocks noChangeAspect="1"/>
        </xdr:cNvPicPr>
      </xdr:nvPicPr>
      <xdr:blipFill>
        <a:blip r:embed="rId1"/>
        <a:stretch>
          <a:fillRect/>
        </a:stretch>
      </xdr:blipFill>
      <xdr:spPr>
        <a:xfrm>
          <a:off x="4924425" y="428625"/>
          <a:ext cx="2438400"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Guidelines%20and%20Trackers\template%20-%20ER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divisions\Economic%20Analysis\ERR%20Spreadsheets\Centralized%20ERR%20Data\ERR%20Spreadsheets%20for%20All%20Compact%20Countries\El%20Salvador\Human%20Development%20Project%202010\mcc-err-elsalvador-communityinfra%208apr10%20-finaliz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roject Description"/>
      <sheetName val="CB_DATA_"/>
      <sheetName val="ERR &amp; Sensitivity Analysis"/>
      <sheetName val="Cost-Benefit Summary"/>
      <sheetName val="Background Sheet 1"/>
      <sheetName val="Background Sheet 2"/>
      <sheetName val="Crystal Ball Report"/>
      <sheetName val="HDM-4 Vehicle Fleet"/>
      <sheetName val="HDM-4 Cost Streams"/>
      <sheetName val="HDM-4 AADT"/>
      <sheetName val="PS"/>
      <sheetName val="template - ERR"/>
    </sheetNames>
    <definedNames>
      <definedName name="Res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Project Description"/>
      <sheetName val="CB_DATA_"/>
      <sheetName val="ERR &amp; Sensitivity Analysis"/>
      <sheetName val="Community Infr ERR"/>
      <sheetName val="Beneficiarios-Inv x Proyecto"/>
      <sheetName val="Plan Mtto"/>
      <sheetName val="Ingreso Percapita ZN"/>
      <sheetName val="Anexo No 1 y 2"/>
      <sheetName val="AGUA262"/>
      <sheetName val="Datos de Becas"/>
      <sheetName val="mcc-err-elsalvador-communityinf"/>
    </sheetNames>
    <sheetDataSet>
      <sheetData sheetId="4">
        <row r="12">
          <cell r="C12">
            <v>2007</v>
          </cell>
          <cell r="D12">
            <v>2008</v>
          </cell>
          <cell r="E12">
            <v>2009</v>
          </cell>
          <cell r="F12">
            <v>2010</v>
          </cell>
          <cell r="G12">
            <v>2011</v>
          </cell>
          <cell r="H12">
            <v>2012</v>
          </cell>
          <cell r="I12">
            <v>2013</v>
          </cell>
          <cell r="J12">
            <v>2014</v>
          </cell>
          <cell r="K12">
            <v>2015</v>
          </cell>
          <cell r="L12">
            <v>2016</v>
          </cell>
          <cell r="M12">
            <v>2017</v>
          </cell>
          <cell r="N12">
            <v>2018</v>
          </cell>
          <cell r="O12">
            <v>2019</v>
          </cell>
          <cell r="P12">
            <v>2020</v>
          </cell>
          <cell r="Q12">
            <v>2021</v>
          </cell>
          <cell r="R12">
            <v>2022</v>
          </cell>
          <cell r="S12">
            <v>2023</v>
          </cell>
          <cell r="T12">
            <v>2024</v>
          </cell>
          <cell r="U12">
            <v>2025</v>
          </cell>
          <cell r="V12">
            <v>2026</v>
          </cell>
        </row>
        <row r="26">
          <cell r="C26">
            <v>-22633.56905246</v>
          </cell>
          <cell r="D26">
            <v>-197604.38183021243</v>
          </cell>
          <cell r="E26">
            <v>-905590.6304558512</v>
          </cell>
          <cell r="F26">
            <v>-6687182.72258585</v>
          </cell>
          <cell r="G26">
            <v>501387.1865970886</v>
          </cell>
          <cell r="H26">
            <v>1509667.0051408382</v>
          </cell>
          <cell r="I26">
            <v>1474527.1332691999</v>
          </cell>
          <cell r="J26">
            <v>1482379.329913699</v>
          </cell>
          <cell r="K26">
            <v>1490016.6116067232</v>
          </cell>
          <cell r="L26">
            <v>1497445.8740897323</v>
          </cell>
          <cell r="M26">
            <v>1504672.7796783214</v>
          </cell>
          <cell r="N26">
            <v>1511702.8471824566</v>
          </cell>
          <cell r="O26">
            <v>1518541.4343736558</v>
          </cell>
          <cell r="P26">
            <v>1525193.7566656</v>
          </cell>
          <cell r="Q26">
            <v>1531664.8874179944</v>
          </cell>
          <cell r="R26">
            <v>1537959.7618057395</v>
          </cell>
          <cell r="S26">
            <v>1544083.1805827166</v>
          </cell>
          <cell r="T26">
            <v>1550039.8137430602</v>
          </cell>
          <cell r="U26">
            <v>1555834.2040827028</v>
          </cell>
          <cell r="V26">
            <v>1561470.7706639166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unity Infr ER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D32"/>
  <sheetViews>
    <sheetView showGridLines="0" tabSelected="1" zoomScalePageLayoutView="0" workbookViewId="0" topLeftCell="A1">
      <selection activeCell="A1" sqref="A1"/>
    </sheetView>
  </sheetViews>
  <sheetFormatPr defaultColWidth="9.140625" defaultRowHeight="15"/>
  <cols>
    <col min="1" max="1" width="7.7109375" style="0" customWidth="1"/>
    <col min="2" max="2" width="36.7109375" style="0" customWidth="1"/>
    <col min="3" max="4" width="54.7109375" style="0" customWidth="1"/>
  </cols>
  <sheetData>
    <row r="1" spans="3:4" ht="12.75" customHeight="1">
      <c r="C1" s="14"/>
      <c r="D1" s="15"/>
    </row>
    <row r="2" spans="3:4" ht="20.25" customHeight="1">
      <c r="C2" s="192" t="s">
        <v>66</v>
      </c>
      <c r="D2" s="192"/>
    </row>
    <row r="3" spans="3:4" ht="15" customHeight="1">
      <c r="C3" s="192"/>
      <c r="D3" s="192"/>
    </row>
    <row r="4" spans="3:4" ht="15" customHeight="1">
      <c r="C4" s="192"/>
      <c r="D4" s="192"/>
    </row>
    <row r="5" spans="3:4" ht="15" customHeight="1">
      <c r="C5" s="192"/>
      <c r="D5" s="192"/>
    </row>
    <row r="6" spans="3:4" ht="15" customHeight="1">
      <c r="C6" s="192"/>
      <c r="D6" s="192"/>
    </row>
    <row r="7" ht="15.75" thickBot="1"/>
    <row r="8" spans="2:4" s="16" customFormat="1" ht="18" customHeight="1" thickTop="1">
      <c r="B8" s="72" t="s">
        <v>60</v>
      </c>
      <c r="C8" s="76" t="s">
        <v>12</v>
      </c>
      <c r="D8" s="174" t="s">
        <v>105</v>
      </c>
    </row>
    <row r="9" spans="2:4" s="16" customFormat="1" ht="18" customHeight="1">
      <c r="B9" s="73" t="s">
        <v>61</v>
      </c>
      <c r="C9" s="17" t="s">
        <v>38</v>
      </c>
      <c r="D9" s="18">
        <v>41123</v>
      </c>
    </row>
    <row r="10" spans="2:4" s="16" customFormat="1" ht="24" customHeight="1">
      <c r="B10" s="73" t="s">
        <v>14</v>
      </c>
      <c r="C10" s="19" t="s">
        <v>39</v>
      </c>
      <c r="D10" s="20" t="s">
        <v>40</v>
      </c>
    </row>
    <row r="11" spans="2:4" s="16" customFormat="1" ht="192" thickBot="1">
      <c r="B11" s="74" t="s">
        <v>62</v>
      </c>
      <c r="C11" s="78" t="s">
        <v>106</v>
      </c>
      <c r="D11" s="79" t="s">
        <v>106</v>
      </c>
    </row>
    <row r="12" spans="2:4" s="21" customFormat="1" ht="35.25" customHeight="1" thickTop="1">
      <c r="B12" s="81" t="s">
        <v>63</v>
      </c>
      <c r="C12" s="82" t="s">
        <v>38</v>
      </c>
      <c r="D12" s="83" t="s">
        <v>108</v>
      </c>
    </row>
    <row r="13" spans="2:4" s="21" customFormat="1" ht="27.75" customHeight="1">
      <c r="B13" s="73" t="s">
        <v>64</v>
      </c>
      <c r="C13" s="80" t="s">
        <v>15</v>
      </c>
      <c r="D13" s="77" t="s">
        <v>85</v>
      </c>
    </row>
    <row r="14" spans="2:4" s="21" customFormat="1" ht="17.25" customHeight="1" thickBot="1">
      <c r="B14" s="75" t="s">
        <v>65</v>
      </c>
      <c r="C14" s="84" t="s">
        <v>38</v>
      </c>
      <c r="D14" s="85" t="s">
        <v>103</v>
      </c>
    </row>
    <row r="15" spans="2:4" s="21" customFormat="1" ht="18" customHeight="1" thickTop="1">
      <c r="B15" s="63"/>
      <c r="C15" s="86"/>
      <c r="D15" s="87"/>
    </row>
    <row r="16" spans="2:4" s="21" customFormat="1" ht="18" customHeight="1">
      <c r="B16" s="89" t="s">
        <v>67</v>
      </c>
      <c r="C16" s="86"/>
      <c r="D16" s="87"/>
    </row>
    <row r="17" spans="2:4" s="21" customFormat="1" ht="9" customHeight="1">
      <c r="B17" s="89"/>
      <c r="C17" s="86"/>
      <c r="D17" s="87"/>
    </row>
    <row r="18" spans="2:4" s="11" customFormat="1" ht="12.75" customHeight="1">
      <c r="B18" s="22" t="s">
        <v>41</v>
      </c>
      <c r="C18" s="91"/>
      <c r="D18" s="91"/>
    </row>
    <row r="19" spans="2:4" ht="12.75" customHeight="1">
      <c r="B19" s="193" t="s">
        <v>16</v>
      </c>
      <c r="C19" s="193"/>
      <c r="D19" s="193"/>
    </row>
    <row r="20" spans="2:4" ht="12.75" customHeight="1">
      <c r="B20" s="71"/>
      <c r="C20" s="91"/>
      <c r="D20" s="92"/>
    </row>
    <row r="21" spans="2:4" ht="12.75" customHeight="1">
      <c r="B21" s="23" t="s">
        <v>17</v>
      </c>
      <c r="C21" s="91"/>
      <c r="D21" s="92"/>
    </row>
    <row r="22" spans="2:4" ht="12.75" customHeight="1">
      <c r="B22" s="194" t="s">
        <v>18</v>
      </c>
      <c r="C22" s="194"/>
      <c r="D22" s="194"/>
    </row>
    <row r="23" spans="2:4" ht="12.75" customHeight="1">
      <c r="B23" s="91"/>
      <c r="C23" s="91"/>
      <c r="D23" s="92"/>
    </row>
    <row r="24" spans="2:4" ht="12.75" customHeight="1">
      <c r="B24" s="23" t="s">
        <v>68</v>
      </c>
      <c r="C24" s="91"/>
      <c r="D24" s="92"/>
    </row>
    <row r="25" spans="2:4" ht="12.75" customHeight="1">
      <c r="B25" s="70" t="s">
        <v>42</v>
      </c>
      <c r="C25" s="70"/>
      <c r="D25" s="92"/>
    </row>
    <row r="26" spans="2:4" ht="12.75" customHeight="1">
      <c r="B26" s="70"/>
      <c r="C26" s="70"/>
      <c r="D26" s="92"/>
    </row>
    <row r="27" spans="2:4" ht="12.75" customHeight="1">
      <c r="B27" s="24" t="s">
        <v>43</v>
      </c>
      <c r="C27" s="70"/>
      <c r="D27" s="92"/>
    </row>
    <row r="28" spans="2:4" ht="12.75" customHeight="1">
      <c r="B28" s="70" t="s">
        <v>44</v>
      </c>
      <c r="C28" s="70"/>
      <c r="D28" s="92"/>
    </row>
    <row r="29" spans="2:4" ht="12.75" customHeight="1">
      <c r="B29" s="70"/>
      <c r="C29" s="70"/>
      <c r="D29" s="92"/>
    </row>
    <row r="30" spans="2:4" ht="12.75" customHeight="1">
      <c r="B30" s="24" t="s">
        <v>55</v>
      </c>
      <c r="C30" s="70"/>
      <c r="D30" s="92"/>
    </row>
    <row r="31" spans="2:4" ht="12.75" customHeight="1">
      <c r="B31" s="91" t="s">
        <v>56</v>
      </c>
      <c r="C31" s="91"/>
      <c r="D31" s="92"/>
    </row>
    <row r="32" spans="2:4" ht="12.75" customHeight="1">
      <c r="B32" s="90"/>
      <c r="C32" s="92"/>
      <c r="D32" s="92"/>
    </row>
  </sheetData>
  <sheetProtection/>
  <mergeCells count="3">
    <mergeCell ref="C2:D6"/>
    <mergeCell ref="B19:D19"/>
    <mergeCell ref="B22:D22"/>
  </mergeCells>
  <hyperlinks>
    <hyperlink ref="B21" location="'ERR &amp; Sensitivity Analysis'!A1" display="ERR &amp; Sensitivity Analysis"/>
    <hyperlink ref="B24" location="'Cost-Benefit Summary'!A1" display="Cost-Benefit Summary"/>
    <hyperlink ref="B18" location="'Activity Description'!A1" display="Activity Description"/>
    <hyperlink ref="B27" location="'Loans Made'!A1" display="Loans Made"/>
    <hyperlink ref="B30" location="'Wage expenditures by Loan'!A1" display="Wage Expenditures by Loan"/>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C22"/>
  <sheetViews>
    <sheetView showGridLines="0" zoomScalePageLayoutView="0" workbookViewId="0" topLeftCell="A1">
      <selection activeCell="A1" sqref="A1"/>
    </sheetView>
  </sheetViews>
  <sheetFormatPr defaultColWidth="9.140625" defaultRowHeight="15"/>
  <cols>
    <col min="1" max="1" width="7.7109375" style="11" customWidth="1"/>
    <col min="2" max="2" width="106.421875" style="62" customWidth="1"/>
    <col min="3" max="16384" width="9.140625" style="11" customWidth="1"/>
  </cols>
  <sheetData>
    <row r="1" ht="12.75" customHeight="1"/>
    <row r="2" ht="20.25">
      <c r="B2" s="60" t="s">
        <v>66</v>
      </c>
    </row>
    <row r="3" ht="15">
      <c r="B3" s="11"/>
    </row>
    <row r="4" ht="18">
      <c r="B4" s="61" t="s">
        <v>41</v>
      </c>
    </row>
    <row r="5" ht="18">
      <c r="A5" s="61"/>
    </row>
    <row r="6" ht="15">
      <c r="B6" s="63" t="s">
        <v>29</v>
      </c>
    </row>
    <row r="7" ht="15">
      <c r="B7" s="63"/>
    </row>
    <row r="8" ht="15">
      <c r="B8" s="171" t="s">
        <v>104</v>
      </c>
    </row>
    <row r="9" spans="1:2" ht="109.5" customHeight="1">
      <c r="A9" s="64"/>
      <c r="B9" s="172" t="s">
        <v>107</v>
      </c>
    </row>
    <row r="10" spans="1:2" ht="15">
      <c r="A10" s="64"/>
      <c r="B10" s="172"/>
    </row>
    <row r="11" spans="1:2" ht="15">
      <c r="A11" s="64"/>
      <c r="B11" s="65" t="s">
        <v>45</v>
      </c>
    </row>
    <row r="12" spans="1:2" ht="15">
      <c r="A12" s="64"/>
      <c r="B12" s="172"/>
    </row>
    <row r="13" spans="1:2" ht="26.25">
      <c r="A13" s="195"/>
      <c r="B13" s="175" t="s">
        <v>109</v>
      </c>
    </row>
    <row r="14" spans="1:2" ht="15">
      <c r="A14" s="195"/>
      <c r="B14" s="173"/>
    </row>
    <row r="15" spans="1:2" ht="104.25" customHeight="1">
      <c r="A15" s="195"/>
      <c r="B15" s="172" t="s">
        <v>57</v>
      </c>
    </row>
    <row r="16" ht="15">
      <c r="B16" s="172"/>
    </row>
    <row r="17" ht="15">
      <c r="B17" s="66" t="s">
        <v>46</v>
      </c>
    </row>
    <row r="18" ht="26.25">
      <c r="B18" s="173" t="s">
        <v>58</v>
      </c>
    </row>
    <row r="22" spans="2:3" ht="15">
      <c r="B22" s="93" t="s">
        <v>11</v>
      </c>
      <c r="C22" s="94">
        <f>'User''s Guide'!$D$9</f>
        <v>41123</v>
      </c>
    </row>
  </sheetData>
  <sheetProtection/>
  <mergeCells count="1">
    <mergeCell ref="A13:A1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J69"/>
  <sheetViews>
    <sheetView showGridLines="0" zoomScalePageLayoutView="0" workbookViewId="0" topLeftCell="A1">
      <selection activeCell="A1" sqref="A1"/>
    </sheetView>
  </sheetViews>
  <sheetFormatPr defaultColWidth="9.140625" defaultRowHeight="15"/>
  <cols>
    <col min="1" max="1" width="7.7109375" style="26" customWidth="1"/>
    <col min="2" max="2" width="18.00390625" style="26" bestFit="1" customWidth="1"/>
    <col min="3" max="3" width="58.7109375" style="26" customWidth="1"/>
    <col min="4" max="6" width="15.7109375" style="26" customWidth="1"/>
    <col min="7" max="7" width="15.00390625" style="26" customWidth="1"/>
    <col min="8" max="8" width="9.140625" style="26" customWidth="1"/>
    <col min="9" max="9" width="19.421875" style="26" customWidth="1"/>
    <col min="10" max="16384" width="9.140625" style="26" customWidth="1"/>
  </cols>
  <sheetData>
    <row r="2" spans="2:4" ht="23.25">
      <c r="B2" s="25" t="s">
        <v>66</v>
      </c>
      <c r="D2" s="27"/>
    </row>
    <row r="3" ht="12.75"/>
    <row r="4" spans="2:8" ht="18">
      <c r="B4" s="28" t="s">
        <v>19</v>
      </c>
      <c r="F4" s="29"/>
      <c r="G4" s="93" t="s">
        <v>11</v>
      </c>
      <c r="H4" s="94">
        <f>'User''s Guide'!$D$9</f>
        <v>41123</v>
      </c>
    </row>
    <row r="6" spans="2:7" ht="45.75" customHeight="1">
      <c r="B6" s="196" t="s">
        <v>20</v>
      </c>
      <c r="C6" s="196"/>
      <c r="D6" s="196"/>
      <c r="E6" s="196"/>
      <c r="F6" s="196"/>
      <c r="G6" s="196"/>
    </row>
    <row r="7" spans="3:6" ht="12.75">
      <c r="C7" s="30"/>
      <c r="D7" s="30"/>
      <c r="E7" s="30"/>
      <c r="F7" s="30"/>
    </row>
    <row r="8" spans="2:7" ht="15.75">
      <c r="B8" s="197" t="s">
        <v>21</v>
      </c>
      <c r="C8" s="197" t="s">
        <v>22</v>
      </c>
      <c r="D8" s="199" t="s">
        <v>23</v>
      </c>
      <c r="E8" s="199"/>
      <c r="F8" s="199"/>
      <c r="G8" s="199"/>
    </row>
    <row r="9" spans="2:9" ht="39" thickBot="1">
      <c r="B9" s="198"/>
      <c r="C9" s="198"/>
      <c r="D9" s="31" t="s">
        <v>24</v>
      </c>
      <c r="E9" s="32" t="s">
        <v>25</v>
      </c>
      <c r="F9" s="32" t="s">
        <v>26</v>
      </c>
      <c r="G9" s="32" t="s">
        <v>27</v>
      </c>
      <c r="I9" s="33" t="s">
        <v>28</v>
      </c>
    </row>
    <row r="10" spans="2:10" ht="33" customHeight="1">
      <c r="B10" s="34" t="s">
        <v>29</v>
      </c>
      <c r="C10" s="35" t="s">
        <v>30</v>
      </c>
      <c r="D10" s="36">
        <v>1</v>
      </c>
      <c r="E10" s="37">
        <v>1</v>
      </c>
      <c r="F10" s="38" t="s">
        <v>31</v>
      </c>
      <c r="G10" s="39">
        <f>D10</f>
        <v>1</v>
      </c>
      <c r="I10" s="40" t="str">
        <f>IF(D10=E10,IF(D11=E11,"Y","N"),"N")</f>
        <v>Y</v>
      </c>
      <c r="J10" s="41"/>
    </row>
    <row r="11" spans="2:9" ht="33" customHeight="1">
      <c r="B11" s="42" t="s">
        <v>29</v>
      </c>
      <c r="C11" s="43" t="s">
        <v>32</v>
      </c>
      <c r="D11" s="44">
        <v>1</v>
      </c>
      <c r="E11" s="45">
        <v>1</v>
      </c>
      <c r="F11" s="46" t="s">
        <v>31</v>
      </c>
      <c r="G11" s="47">
        <f>D11</f>
        <v>1</v>
      </c>
      <c r="I11" s="48"/>
    </row>
    <row r="12" spans="2:7" s="49" customFormat="1" ht="12.75">
      <c r="B12" s="201">
        <f>IF($I$10="N","Note: Current calculations are based on user input and are not the original MCC estimates.",0)</f>
        <v>0</v>
      </c>
      <c r="C12" s="201"/>
      <c r="D12" s="201"/>
      <c r="E12" s="201"/>
      <c r="F12" s="201"/>
      <c r="G12" s="201"/>
    </row>
    <row r="13" ht="12.75">
      <c r="I13" s="50"/>
    </row>
    <row r="14" spans="3:5" ht="12.75">
      <c r="C14" s="51" t="s">
        <v>33</v>
      </c>
      <c r="D14" s="52">
        <f>'Cost-Benefit Summary'!D26</f>
        <v>0.15493019565827115</v>
      </c>
      <c r="E14" s="53" t="s">
        <v>34</v>
      </c>
    </row>
    <row r="15" spans="3:5" ht="12.75">
      <c r="C15" s="51"/>
      <c r="D15" s="54"/>
      <c r="E15" s="53"/>
    </row>
    <row r="16" spans="3:5" ht="12.75">
      <c r="C16" s="51"/>
      <c r="D16" s="51"/>
      <c r="E16" s="51"/>
    </row>
    <row r="17" spans="3:6" ht="12.75">
      <c r="C17" s="55" t="s">
        <v>35</v>
      </c>
      <c r="D17" s="166"/>
      <c r="E17" s="56" t="s">
        <v>36</v>
      </c>
      <c r="F17" s="167" t="s">
        <v>37</v>
      </c>
    </row>
    <row r="18" spans="3:6" ht="12.75">
      <c r="C18" s="55"/>
      <c r="D18" s="168" t="s">
        <v>4</v>
      </c>
      <c r="E18" s="57" t="s">
        <v>38</v>
      </c>
      <c r="F18" s="169">
        <f>D14</f>
        <v>0.15493019565827115</v>
      </c>
    </row>
    <row r="19" spans="3:6" ht="12.75">
      <c r="C19" s="58"/>
      <c r="D19" s="168" t="s">
        <v>13</v>
      </c>
      <c r="E19" s="59" t="s">
        <v>38</v>
      </c>
      <c r="F19" s="170">
        <v>41123</v>
      </c>
    </row>
    <row r="21" spans="3:5" s="58" customFormat="1" ht="12.75">
      <c r="C21" s="143" t="s">
        <v>95</v>
      </c>
      <c r="D21" s="144">
        <f>'Cost-Benefit Summary'!D27</f>
        <v>14121925.212171372</v>
      </c>
      <c r="E21" s="146" t="s">
        <v>97</v>
      </c>
    </row>
    <row r="22" spans="3:4" s="58" customFormat="1" ht="12.75">
      <c r="C22" s="143"/>
      <c r="D22" s="145"/>
    </row>
    <row r="23" spans="3:5" s="58" customFormat="1" ht="12.75">
      <c r="C23" s="143" t="s">
        <v>96</v>
      </c>
      <c r="D23" s="144">
        <f>'Cost-Benefit Summary'!D28</f>
        <v>1523819.8733277807</v>
      </c>
      <c r="E23" s="146" t="s">
        <v>97</v>
      </c>
    </row>
    <row r="69" spans="3:7" ht="30.75" customHeight="1">
      <c r="C69" s="200"/>
      <c r="D69" s="200"/>
      <c r="E69" s="200"/>
      <c r="F69" s="200"/>
      <c r="G69" s="200"/>
    </row>
  </sheetData>
  <sheetProtection/>
  <mergeCells count="6">
    <mergeCell ref="B6:G6"/>
    <mergeCell ref="B8:B9"/>
    <mergeCell ref="C8:C9"/>
    <mergeCell ref="D8:G8"/>
    <mergeCell ref="C69:G69"/>
    <mergeCell ref="B12:G12"/>
  </mergeCells>
  <conditionalFormatting sqref="B12">
    <cfRule type="cellIs" priority="1" dxfId="4" operator="equal" stopIfTrue="1">
      <formula>0</formula>
    </cfRule>
    <cfRule type="cellIs" priority="2" dxfId="5" operator="notEqual" stopIfTrue="1">
      <formula>0</formula>
    </cfRule>
  </conditionalFormatting>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B2:Q38"/>
  <sheetViews>
    <sheetView zoomScalePageLayoutView="0" workbookViewId="0" topLeftCell="A1">
      <selection activeCell="A1" sqref="A1"/>
    </sheetView>
  </sheetViews>
  <sheetFormatPr defaultColWidth="9.140625" defaultRowHeight="15"/>
  <cols>
    <col min="1" max="1" width="7.7109375" style="0" customWidth="1"/>
    <col min="2" max="2" width="49.7109375" style="0" customWidth="1"/>
    <col min="3" max="3" width="12.140625" style="0" customWidth="1"/>
    <col min="4" max="6" width="15.421875" style="0" customWidth="1"/>
    <col min="7" max="18" width="13.28125" style="0" customWidth="1"/>
  </cols>
  <sheetData>
    <row r="2" spans="2:4" s="26" customFormat="1" ht="23.25">
      <c r="B2" s="25" t="s">
        <v>66</v>
      </c>
      <c r="D2" s="27"/>
    </row>
    <row r="3" spans="8:9" s="26" customFormat="1" ht="12.75">
      <c r="H3" s="93" t="s">
        <v>11</v>
      </c>
      <c r="I3" s="94">
        <f>'User''s Guide'!$D$9</f>
        <v>41123</v>
      </c>
    </row>
    <row r="4" spans="2:6" s="26" customFormat="1" ht="18">
      <c r="B4" s="28" t="s">
        <v>79</v>
      </c>
      <c r="F4" s="29"/>
    </row>
    <row r="5" ht="15.75">
      <c r="B5" s="7"/>
    </row>
    <row r="8" spans="2:7" ht="15">
      <c r="B8" s="201">
        <f>IF('ERR &amp; Sensitivity Analysis'!I10="N","Note: Current calculations are based on user input and are not the original MCC estimates.",0)</f>
        <v>0</v>
      </c>
      <c r="C8" s="201"/>
      <c r="D8" s="201"/>
      <c r="E8" s="201"/>
      <c r="F8" s="201"/>
      <c r="G8" s="201"/>
    </row>
    <row r="10" spans="2:17" ht="15">
      <c r="B10" s="10"/>
      <c r="C10" s="105" t="s">
        <v>2</v>
      </c>
      <c r="D10" s="105">
        <v>2008</v>
      </c>
      <c r="E10" s="105">
        <v>2009</v>
      </c>
      <c r="F10" s="105">
        <v>2010</v>
      </c>
      <c r="G10" s="105">
        <v>2011</v>
      </c>
      <c r="H10" s="105">
        <v>2012</v>
      </c>
      <c r="I10" s="105">
        <v>2013</v>
      </c>
      <c r="J10" s="105">
        <v>2014</v>
      </c>
      <c r="K10" s="105">
        <v>2015</v>
      </c>
      <c r="L10" s="105">
        <v>2016</v>
      </c>
      <c r="M10" s="105">
        <v>2017</v>
      </c>
      <c r="N10" s="105">
        <v>2018</v>
      </c>
      <c r="O10" s="105">
        <v>2019</v>
      </c>
      <c r="P10" s="105">
        <v>2020</v>
      </c>
      <c r="Q10" s="105">
        <v>2021</v>
      </c>
    </row>
    <row r="11" spans="2:17" ht="15">
      <c r="B11" s="148" t="s">
        <v>98</v>
      </c>
      <c r="C11" s="103"/>
      <c r="D11" s="103"/>
      <c r="E11" s="103"/>
      <c r="F11" s="103"/>
      <c r="G11" s="103"/>
      <c r="H11" s="103"/>
      <c r="I11" s="103"/>
      <c r="J11" s="103"/>
      <c r="K11" s="103"/>
      <c r="L11" s="103"/>
      <c r="M11" s="103"/>
      <c r="N11" s="103"/>
      <c r="O11" s="103"/>
      <c r="P11" s="103"/>
      <c r="Q11" s="103"/>
    </row>
    <row r="12" spans="2:17" ht="15">
      <c r="B12" s="103" t="s">
        <v>6</v>
      </c>
      <c r="C12" s="158" t="s">
        <v>10</v>
      </c>
      <c r="D12" s="95">
        <f>'Loans Made'!D34</f>
        <v>-9883658.670000002</v>
      </c>
      <c r="E12" s="95">
        <f>'Loans Made'!E34</f>
        <v>1139306.293644204</v>
      </c>
      <c r="F12" s="95">
        <f>'Loans Made'!F34</f>
        <v>1282649.9474889536</v>
      </c>
      <c r="G12" s="95">
        <f>'Loans Made'!G34</f>
        <v>1749661.880023824</v>
      </c>
      <c r="H12" s="95">
        <f>'Loans Made'!H34</f>
        <v>2127349.9278974896</v>
      </c>
      <c r="I12" s="95">
        <f>'Loans Made'!I34</f>
        <v>5281326.284541675</v>
      </c>
      <c r="J12" s="95">
        <f>'Loans Made'!J34</f>
        <v>3970784.1171350996</v>
      </c>
      <c r="K12" s="95">
        <f>'Loans Made'!K34</f>
        <v>1822827.7999999998</v>
      </c>
      <c r="L12" s="95">
        <f>'Loans Made'!L34</f>
        <v>1029912.4699999999</v>
      </c>
      <c r="M12" s="95">
        <f>'Loans Made'!M34</f>
        <v>1114260.0899999999</v>
      </c>
      <c r="N12" s="95">
        <f>'Loans Made'!N34</f>
        <v>2320798.85</v>
      </c>
      <c r="O12" s="95">
        <f>'Loans Made'!O34</f>
        <v>0</v>
      </c>
      <c r="P12" s="95">
        <f>'Loans Made'!P34</f>
        <v>0</v>
      </c>
      <c r="Q12" s="95">
        <f>'Loans Made'!Q34</f>
        <v>0</v>
      </c>
    </row>
    <row r="13" spans="2:17" ht="15">
      <c r="B13" s="105" t="s">
        <v>48</v>
      </c>
      <c r="C13" s="159" t="s">
        <v>10</v>
      </c>
      <c r="D13" s="102">
        <v>0</v>
      </c>
      <c r="E13" s="102">
        <f>'Wage expenditures by Loan'!D35*$C$36</f>
        <v>325218.1333333333</v>
      </c>
      <c r="F13" s="102">
        <f>'Wage expenditures by Loan'!E35*$C$36</f>
        <v>439627.3173333334</v>
      </c>
      <c r="G13" s="102">
        <f>'Wage expenditures by Loan'!F35*$C$36</f>
        <v>507251.55573333334</v>
      </c>
      <c r="H13" s="102">
        <f>'Wage expenditures by Loan'!G35*$C$36</f>
        <v>565532.8229333335</v>
      </c>
      <c r="I13" s="102">
        <f>'Wage expenditures by Loan'!H35*$C$36</f>
        <v>609477.3728933334</v>
      </c>
      <c r="J13" s="102">
        <f>'Wage expenditures by Loan'!I35*$C$36</f>
        <v>610332.0217333334</v>
      </c>
      <c r="K13" s="102">
        <f>'Wage expenditures by Loan'!J35*$C$36</f>
        <v>254325.96478533343</v>
      </c>
      <c r="L13" s="102">
        <f>'Wage expenditures by Loan'!K35*$C$36</f>
        <v>75420.25</v>
      </c>
      <c r="M13" s="102">
        <f>'Wage expenditures by Loan'!L35*$C$36</f>
        <v>89404.69</v>
      </c>
      <c r="N13" s="102">
        <f>'Wage expenditures by Loan'!M35*$C$36</f>
        <v>95693.5</v>
      </c>
      <c r="O13" s="102">
        <f>'Wage expenditures by Loan'!N35*$C$36</f>
        <v>0</v>
      </c>
      <c r="P13" s="102">
        <f>'Wage expenditures by Loan'!O35*$C$36</f>
        <v>0</v>
      </c>
      <c r="Q13" s="102">
        <f>'Wage expenditures by Loan'!P35*$C$36</f>
        <v>0</v>
      </c>
    </row>
    <row r="14" spans="2:17" ht="15">
      <c r="B14" s="104" t="s">
        <v>54</v>
      </c>
      <c r="C14" s="158" t="s">
        <v>10</v>
      </c>
      <c r="D14" s="95">
        <f>D12+D13</f>
        <v>-9883658.670000002</v>
      </c>
      <c r="E14" s="95">
        <f>E12+E13</f>
        <v>1464524.4269775373</v>
      </c>
      <c r="F14" s="95">
        <f>F12+F13</f>
        <v>1722277.264822287</v>
      </c>
      <c r="G14" s="95">
        <f>G12+G13</f>
        <v>2256913.4357571574</v>
      </c>
      <c r="H14" s="95">
        <f>H12+H13+H18</f>
        <v>2699496.9556518486</v>
      </c>
      <c r="I14" s="95">
        <f aca="true" t="shared" si="0" ref="I14:Q14">I12+I13</f>
        <v>5890803.657435008</v>
      </c>
      <c r="J14" s="95">
        <f t="shared" si="0"/>
        <v>4581116.1388684325</v>
      </c>
      <c r="K14" s="95">
        <f t="shared" si="0"/>
        <v>2077153.7647853333</v>
      </c>
      <c r="L14" s="95">
        <f t="shared" si="0"/>
        <v>1105332.7199999997</v>
      </c>
      <c r="M14" s="95">
        <f t="shared" si="0"/>
        <v>1203664.7799999998</v>
      </c>
      <c r="N14" s="95">
        <f t="shared" si="0"/>
        <v>2416492.35</v>
      </c>
      <c r="O14" s="95">
        <f t="shared" si="0"/>
        <v>0</v>
      </c>
      <c r="P14" s="95">
        <f t="shared" si="0"/>
        <v>0</v>
      </c>
      <c r="Q14" s="95">
        <f t="shared" si="0"/>
        <v>0</v>
      </c>
    </row>
    <row r="15" spans="2:17" ht="7.5" customHeight="1">
      <c r="B15" s="104"/>
      <c r="C15" s="158"/>
      <c r="D15" s="95"/>
      <c r="E15" s="95"/>
      <c r="F15" s="95"/>
      <c r="G15" s="95"/>
      <c r="H15" s="95"/>
      <c r="I15" s="95"/>
      <c r="J15" s="95"/>
      <c r="K15" s="95"/>
      <c r="L15" s="95"/>
      <c r="M15" s="95"/>
      <c r="N15" s="95"/>
      <c r="O15" s="95"/>
      <c r="P15" s="95"/>
      <c r="Q15" s="95"/>
    </row>
    <row r="16" spans="2:17" ht="12.75" customHeight="1">
      <c r="B16" s="148" t="s">
        <v>99</v>
      </c>
      <c r="C16" s="158"/>
      <c r="D16" s="95"/>
      <c r="E16" s="95"/>
      <c r="F16" s="95"/>
      <c r="G16" s="95"/>
      <c r="H16" s="95"/>
      <c r="I16" s="95"/>
      <c r="J16" s="95"/>
      <c r="K16" s="95"/>
      <c r="L16" s="95"/>
      <c r="M16" s="95"/>
      <c r="N16" s="95"/>
      <c r="O16" s="95"/>
      <c r="P16" s="95"/>
      <c r="Q16" s="95"/>
    </row>
    <row r="17" spans="2:17" ht="15">
      <c r="B17" s="103" t="s">
        <v>111</v>
      </c>
      <c r="C17" s="158" t="s">
        <v>10</v>
      </c>
      <c r="D17" s="95">
        <f>0*C33</f>
        <v>0</v>
      </c>
      <c r="E17" s="95">
        <f>18504*C33</f>
        <v>18504</v>
      </c>
      <c r="F17" s="95">
        <f>511390.94*C33</f>
        <v>511390.94</v>
      </c>
      <c r="G17" s="95">
        <f>443642.1*C33</f>
        <v>443642.1</v>
      </c>
      <c r="H17" s="95">
        <f>319583.21*C33</f>
        <v>319583.21</v>
      </c>
      <c r="I17" s="95"/>
      <c r="J17" s="95"/>
      <c r="K17" s="95"/>
      <c r="L17" s="95"/>
      <c r="M17" s="95"/>
      <c r="N17" s="95"/>
      <c r="O17" s="95"/>
      <c r="P17" s="95"/>
      <c r="Q17" s="95"/>
    </row>
    <row r="18" spans="2:17" ht="15">
      <c r="B18" s="149" t="s">
        <v>59</v>
      </c>
      <c r="C18" s="159" t="s">
        <v>10</v>
      </c>
      <c r="D18" s="95">
        <f>0*C33</f>
        <v>0</v>
      </c>
      <c r="E18" s="95">
        <f>199115.499718842*C33</f>
        <v>199115.499718842</v>
      </c>
      <c r="F18" s="95">
        <f>180250.086030772*C33</f>
        <v>180250.086030772</v>
      </c>
      <c r="G18" s="95">
        <f>70539.8999878105*C33</f>
        <v>70539.8999878105</v>
      </c>
      <c r="H18" s="95">
        <f>6614.20482102571*C33</f>
        <v>6614.20482102571</v>
      </c>
      <c r="I18" s="95"/>
      <c r="J18" s="95"/>
      <c r="K18" s="95"/>
      <c r="L18" s="95"/>
      <c r="M18" s="95"/>
      <c r="N18" s="95"/>
      <c r="O18" s="95"/>
      <c r="P18" s="95"/>
      <c r="Q18" s="95"/>
    </row>
    <row r="19" spans="2:17" ht="15">
      <c r="B19" s="104" t="s">
        <v>100</v>
      </c>
      <c r="C19" s="159" t="s">
        <v>10</v>
      </c>
      <c r="D19" s="95">
        <f>SUM(D17:D18)</f>
        <v>0</v>
      </c>
      <c r="E19" s="95">
        <f>SUM(E17:E18)</f>
        <v>217619.499718842</v>
      </c>
      <c r="F19" s="95">
        <f>SUM(F17:F18)</f>
        <v>691641.026030772</v>
      </c>
      <c r="G19" s="95">
        <f>SUM(G17:G18)</f>
        <v>514181.9999878105</v>
      </c>
      <c r="H19" s="95">
        <f>SUM(H17:H18)</f>
        <v>326197.41482102574</v>
      </c>
      <c r="I19" s="95"/>
      <c r="J19" s="95"/>
      <c r="K19" s="95"/>
      <c r="L19" s="95"/>
      <c r="M19" s="95"/>
      <c r="N19" s="95"/>
      <c r="O19" s="95"/>
      <c r="P19" s="95"/>
      <c r="Q19" s="95"/>
    </row>
    <row r="20" spans="2:3" ht="15">
      <c r="B20" s="8"/>
      <c r="C20" s="159"/>
    </row>
    <row r="21" spans="2:17" ht="15">
      <c r="B21" s="150" t="s">
        <v>8</v>
      </c>
      <c r="C21" s="160" t="s">
        <v>7</v>
      </c>
      <c r="D21" s="151">
        <v>116.0982546169</v>
      </c>
      <c r="E21" s="151">
        <v>117.324194481701</v>
      </c>
      <c r="F21" s="151">
        <v>118.707840672605</v>
      </c>
      <c r="G21" s="151">
        <f aca="true" t="shared" si="1" ref="G21:Q21">F21*(1+G22)</f>
        <v>122.77951960767535</v>
      </c>
      <c r="H21" s="151">
        <f t="shared" si="1"/>
        <v>126.99085713021861</v>
      </c>
      <c r="I21" s="151">
        <f t="shared" si="1"/>
        <v>131.34664352978513</v>
      </c>
      <c r="J21" s="151">
        <f t="shared" si="1"/>
        <v>135.85183340285676</v>
      </c>
      <c r="K21" s="151">
        <f t="shared" si="1"/>
        <v>140.51155128857474</v>
      </c>
      <c r="L21" s="151">
        <f t="shared" si="1"/>
        <v>145.33109749777284</v>
      </c>
      <c r="M21" s="151">
        <f t="shared" si="1"/>
        <v>150.31595414194646</v>
      </c>
      <c r="N21" s="151">
        <f t="shared" si="1"/>
        <v>155.47179136901522</v>
      </c>
      <c r="O21" s="151">
        <f t="shared" si="1"/>
        <v>160.80447381297245</v>
      </c>
      <c r="P21" s="151">
        <f t="shared" si="1"/>
        <v>166.3200672647574</v>
      </c>
      <c r="Q21" s="152">
        <f t="shared" si="1"/>
        <v>172.02484557193858</v>
      </c>
    </row>
    <row r="22" spans="2:17" ht="17.25">
      <c r="B22" s="153" t="s">
        <v>83</v>
      </c>
      <c r="C22" s="161" t="s">
        <v>9</v>
      </c>
      <c r="D22" s="10" t="s">
        <v>0</v>
      </c>
      <c r="E22" s="10" t="s">
        <v>0</v>
      </c>
      <c r="F22" s="10" t="s">
        <v>0</v>
      </c>
      <c r="G22" s="154">
        <v>0.0343</v>
      </c>
      <c r="H22" s="154">
        <v>0.0343</v>
      </c>
      <c r="I22" s="154">
        <v>0.0343</v>
      </c>
      <c r="J22" s="154">
        <v>0.0343</v>
      </c>
      <c r="K22" s="154">
        <v>0.0343</v>
      </c>
      <c r="L22" s="154">
        <v>0.0343</v>
      </c>
      <c r="M22" s="154">
        <v>0.0343</v>
      </c>
      <c r="N22" s="154">
        <v>0.0343</v>
      </c>
      <c r="O22" s="154">
        <v>0.0343</v>
      </c>
      <c r="P22" s="154">
        <v>0.0343</v>
      </c>
      <c r="Q22" s="155">
        <v>0.0343</v>
      </c>
    </row>
    <row r="23" spans="2:17" ht="15">
      <c r="B23" s="8"/>
      <c r="C23" s="162"/>
      <c r="G23" s="13"/>
      <c r="H23" s="13"/>
      <c r="I23" s="13"/>
      <c r="J23" s="13"/>
      <c r="K23" s="13"/>
      <c r="L23" s="13"/>
      <c r="M23" s="13"/>
      <c r="N23" s="13"/>
      <c r="O23" s="13"/>
      <c r="P23" s="13"/>
      <c r="Q23" s="13"/>
    </row>
    <row r="24" spans="2:17" ht="15">
      <c r="B24" s="156" t="s">
        <v>3</v>
      </c>
      <c r="C24" s="158" t="s">
        <v>94</v>
      </c>
      <c r="D24" s="95">
        <f>(D14-D19)*($D$21/D21)</f>
        <v>-9883658.670000002</v>
      </c>
      <c r="E24" s="95">
        <f aca="true" t="shared" si="2" ref="E24:Q24">(E14-E19)*($D$21/E21)</f>
        <v>1233875.8119539092</v>
      </c>
      <c r="F24" s="95">
        <f>(F14-F19)*($D$21/F21)</f>
        <v>1007979.4880493943</v>
      </c>
      <c r="G24" s="95">
        <f t="shared" si="2"/>
        <v>1647897.6184736362</v>
      </c>
      <c r="H24" s="95">
        <f t="shared" si="2"/>
        <v>2169730.4876917982</v>
      </c>
      <c r="I24" s="95">
        <f t="shared" si="2"/>
        <v>5206924.246708797</v>
      </c>
      <c r="J24" s="95">
        <f t="shared" si="2"/>
        <v>3914997.498360982</v>
      </c>
      <c r="K24" s="95">
        <f t="shared" si="2"/>
        <v>1716256.9514817442</v>
      </c>
      <c r="L24" s="95">
        <f t="shared" si="2"/>
        <v>882998.9023162588</v>
      </c>
      <c r="M24" s="95">
        <f t="shared" si="2"/>
        <v>929664.3253840662</v>
      </c>
      <c r="N24" s="95">
        <f t="shared" si="2"/>
        <v>1804510.9126207922</v>
      </c>
      <c r="O24" s="95">
        <f t="shared" si="2"/>
        <v>0</v>
      </c>
      <c r="P24" s="95">
        <f t="shared" si="2"/>
        <v>0</v>
      </c>
      <c r="Q24" s="95">
        <f t="shared" si="2"/>
        <v>0</v>
      </c>
    </row>
    <row r="25" ht="15">
      <c r="C25" s="88"/>
    </row>
    <row r="26" spans="2:6" ht="15">
      <c r="B26" s="157" t="s">
        <v>4</v>
      </c>
      <c r="C26" s="88"/>
      <c r="D26" s="147">
        <f>IRR(D24:Q24)</f>
        <v>0.15493019565827115</v>
      </c>
      <c r="E26" s="9"/>
      <c r="F26" s="9"/>
    </row>
    <row r="27" spans="2:5" ht="15">
      <c r="B27" s="157" t="s">
        <v>102</v>
      </c>
      <c r="C27" s="158" t="s">
        <v>94</v>
      </c>
      <c r="D27" s="67">
        <f>NPV(0.1,SUMPRODUCT(D14:Q14),$D$21/D21:Q21)</f>
        <v>14121925.212171372</v>
      </c>
      <c r="E27" s="98" t="s">
        <v>84</v>
      </c>
    </row>
    <row r="28" spans="2:5" ht="15">
      <c r="B28" s="157" t="s">
        <v>101</v>
      </c>
      <c r="C28" s="158" t="s">
        <v>94</v>
      </c>
      <c r="D28" s="67">
        <f>NPV(0.1,SUMPRODUCT(D19:Q19,$D$21/D21:Q21))</f>
        <v>1523819.8733277807</v>
      </c>
      <c r="E28" s="98" t="s">
        <v>84</v>
      </c>
    </row>
    <row r="29" spans="2:8" ht="15">
      <c r="B29" s="157" t="s">
        <v>5</v>
      </c>
      <c r="C29" s="158" t="s">
        <v>94</v>
      </c>
      <c r="D29" s="12">
        <f>NPV(0.1,D24:Q24)</f>
        <v>2378871.826862294</v>
      </c>
      <c r="E29" s="98" t="s">
        <v>84</v>
      </c>
      <c r="H29" s="165"/>
    </row>
    <row r="32" spans="2:7" ht="15">
      <c r="B32" s="99" t="s">
        <v>80</v>
      </c>
      <c r="C32" s="100"/>
      <c r="D32" s="100"/>
      <c r="E32" s="100"/>
      <c r="F32" s="100"/>
      <c r="G32" s="100"/>
    </row>
    <row r="33" spans="2:12" ht="15">
      <c r="B33" s="163" t="s">
        <v>30</v>
      </c>
      <c r="C33" s="164">
        <f>'ERR &amp; Sensitivity Analysis'!$G$10</f>
        <v>1</v>
      </c>
      <c r="E33" s="100"/>
      <c r="F33" s="100"/>
      <c r="G33" s="101"/>
      <c r="H33" s="13"/>
      <c r="I33" s="13"/>
      <c r="J33" s="13"/>
      <c r="K33" s="13"/>
      <c r="L33" s="13"/>
    </row>
    <row r="34" spans="2:11" ht="15">
      <c r="B34" s="100"/>
      <c r="C34" s="100"/>
      <c r="E34" s="100"/>
      <c r="F34" s="100"/>
      <c r="G34" s="100"/>
      <c r="K34" s="13"/>
    </row>
    <row r="35" spans="2:7" ht="15">
      <c r="B35" s="99" t="s">
        <v>81</v>
      </c>
      <c r="C35" s="100"/>
      <c r="E35" s="100"/>
      <c r="F35" s="100"/>
      <c r="G35" s="100"/>
    </row>
    <row r="36" spans="2:7" ht="15">
      <c r="B36" s="163" t="s">
        <v>32</v>
      </c>
      <c r="C36" s="164">
        <f>'ERR &amp; Sensitivity Analysis'!$G$11</f>
        <v>1</v>
      </c>
      <c r="E36" s="100"/>
      <c r="F36" s="100"/>
      <c r="G36" s="101"/>
    </row>
    <row r="38" ht="17.25">
      <c r="B38" s="98" t="s">
        <v>82</v>
      </c>
    </row>
  </sheetData>
  <sheetProtection/>
  <mergeCells count="1">
    <mergeCell ref="B8:G8"/>
  </mergeCells>
  <conditionalFormatting sqref="B8">
    <cfRule type="cellIs" priority="1" dxfId="4" operator="equal" stopIfTrue="1">
      <formula>0</formula>
    </cfRule>
    <cfRule type="cellIs" priority="2" dxfId="5" operator="notEqual" stopIfTrue="1">
      <formula>0</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3:N72"/>
  <sheetViews>
    <sheetView zoomScalePageLayoutView="0" workbookViewId="0" topLeftCell="A2">
      <selection activeCell="A2" sqref="A2"/>
    </sheetView>
  </sheetViews>
  <sheetFormatPr defaultColWidth="11.421875" defaultRowHeight="15"/>
  <cols>
    <col min="1" max="1" width="7.7109375" style="3" customWidth="1"/>
    <col min="2" max="2" width="4.00390625" style="3" customWidth="1"/>
    <col min="3" max="3" width="8.8515625" style="68" customWidth="1"/>
    <col min="4" max="4" width="17.00390625" style="69" customWidth="1"/>
    <col min="5" max="5" width="15.7109375" style="4" customWidth="1"/>
    <col min="6" max="6" width="17.421875" style="4" customWidth="1"/>
    <col min="7" max="8" width="14.00390625" style="5" bestFit="1" customWidth="1"/>
    <col min="9" max="9" width="14.57421875" style="5" customWidth="1"/>
    <col min="10" max="10" width="15.00390625" style="6" customWidth="1"/>
    <col min="11" max="14" width="14.00390625" style="6" bestFit="1" customWidth="1"/>
    <col min="15" max="16384" width="11.421875" style="3" customWidth="1"/>
  </cols>
  <sheetData>
    <row r="1" ht="12.75" hidden="1"/>
    <row r="3" spans="2:4" s="26" customFormat="1" ht="23.25">
      <c r="B3" s="25" t="s">
        <v>66</v>
      </c>
      <c r="D3" s="27"/>
    </row>
    <row r="4" spans="8:9" s="26" customFormat="1" ht="12.75">
      <c r="H4" s="93" t="s">
        <v>11</v>
      </c>
      <c r="I4" s="94">
        <f>'User''s Guide'!$D$9</f>
        <v>41123</v>
      </c>
    </row>
    <row r="5" spans="2:6" s="26" customFormat="1" ht="18">
      <c r="B5" s="28" t="s">
        <v>43</v>
      </c>
      <c r="F5" s="29"/>
    </row>
    <row r="6" s="26" customFormat="1" ht="12.75">
      <c r="F6" s="29"/>
    </row>
    <row r="7" spans="2:14" s="1" customFormat="1" ht="15" customHeight="1">
      <c r="B7" s="117"/>
      <c r="C7" s="202" t="s">
        <v>110</v>
      </c>
      <c r="D7" s="203" t="s">
        <v>92</v>
      </c>
      <c r="E7" s="203"/>
      <c r="F7" s="203"/>
      <c r="G7" s="203"/>
      <c r="H7" s="203"/>
      <c r="I7" s="203"/>
      <c r="J7" s="203"/>
      <c r="K7" s="203"/>
      <c r="L7" s="203"/>
      <c r="M7" s="203"/>
      <c r="N7" s="203"/>
    </row>
    <row r="8" spans="2:14" s="2" customFormat="1" ht="15" customHeight="1">
      <c r="B8" s="118"/>
      <c r="C8" s="202"/>
      <c r="D8" s="136">
        <v>0</v>
      </c>
      <c r="E8" s="137">
        <v>1</v>
      </c>
      <c r="F8" s="137">
        <v>2</v>
      </c>
      <c r="G8" s="137">
        <v>3</v>
      </c>
      <c r="H8" s="137">
        <v>4</v>
      </c>
      <c r="I8" s="137">
        <v>5</v>
      </c>
      <c r="J8" s="137">
        <v>6</v>
      </c>
      <c r="K8" s="137">
        <v>7</v>
      </c>
      <c r="L8" s="137">
        <v>8</v>
      </c>
      <c r="M8" s="137">
        <v>9</v>
      </c>
      <c r="N8" s="137">
        <v>10</v>
      </c>
    </row>
    <row r="9" spans="3:14" ht="15" customHeight="1">
      <c r="C9" s="182">
        <v>1</v>
      </c>
      <c r="D9" s="178">
        <v>-359068.54</v>
      </c>
      <c r="E9" s="120">
        <v>67908.98</v>
      </c>
      <c r="F9" s="120">
        <v>85318.3</v>
      </c>
      <c r="G9" s="120">
        <v>84426.3</v>
      </c>
      <c r="H9" s="120">
        <v>81900.15</v>
      </c>
      <c r="I9" s="120">
        <v>272256.83</v>
      </c>
      <c r="J9" s="121" t="s">
        <v>0</v>
      </c>
      <c r="K9" s="121" t="s">
        <v>0</v>
      </c>
      <c r="L9" s="121" t="s">
        <v>0</v>
      </c>
      <c r="M9" s="121" t="s">
        <v>0</v>
      </c>
      <c r="N9" s="121" t="s">
        <v>0</v>
      </c>
    </row>
    <row r="10" spans="3:14" ht="15" customHeight="1">
      <c r="C10" s="183">
        <v>2</v>
      </c>
      <c r="D10" s="179">
        <v>-127300</v>
      </c>
      <c r="E10" s="122">
        <v>-2092.633855796028</v>
      </c>
      <c r="F10" s="122">
        <v>246.7734768231894</v>
      </c>
      <c r="G10" s="122">
        <v>10055.954429042435</v>
      </c>
      <c r="H10" s="122">
        <v>22494.628938111033</v>
      </c>
      <c r="I10" s="122">
        <v>40058.959868409496</v>
      </c>
      <c r="J10" s="122">
        <v>59655.166972506035</v>
      </c>
      <c r="K10" s="123">
        <v>230330.78</v>
      </c>
      <c r="L10" s="121" t="s">
        <v>0</v>
      </c>
      <c r="M10" s="121" t="s">
        <v>0</v>
      </c>
      <c r="N10" s="121" t="s">
        <v>0</v>
      </c>
    </row>
    <row r="11" spans="3:14" ht="15" customHeight="1">
      <c r="C11" s="183">
        <v>3</v>
      </c>
      <c r="D11" s="179">
        <v>-373736</v>
      </c>
      <c r="E11" s="122">
        <v>-73212.64</v>
      </c>
      <c r="F11" s="122">
        <v>19191.36</v>
      </c>
      <c r="G11" s="122">
        <v>79782.88</v>
      </c>
      <c r="H11" s="122">
        <v>134622.7</v>
      </c>
      <c r="I11" s="122">
        <v>176446.28</v>
      </c>
      <c r="J11" s="122">
        <v>636388.85</v>
      </c>
      <c r="K11" s="121" t="s">
        <v>0</v>
      </c>
      <c r="L11" s="121" t="s">
        <v>0</v>
      </c>
      <c r="M11" s="121" t="s">
        <v>0</v>
      </c>
      <c r="N11" s="121" t="s">
        <v>0</v>
      </c>
    </row>
    <row r="12" spans="3:14" ht="15" customHeight="1">
      <c r="C12" s="183">
        <v>4</v>
      </c>
      <c r="D12" s="179">
        <v>-429402</v>
      </c>
      <c r="E12" s="122">
        <v>37592.5</v>
      </c>
      <c r="F12" s="122">
        <v>73659.11</v>
      </c>
      <c r="G12" s="122">
        <v>70161.54</v>
      </c>
      <c r="H12" s="122">
        <v>54096.03</v>
      </c>
      <c r="I12" s="122">
        <v>56016.92</v>
      </c>
      <c r="J12" s="122">
        <v>61153.02</v>
      </c>
      <c r="K12" s="122">
        <v>144662.07</v>
      </c>
      <c r="L12" s="122">
        <v>148658.73</v>
      </c>
      <c r="M12" s="122">
        <v>152775.29</v>
      </c>
      <c r="N12" s="122">
        <v>244860.85</v>
      </c>
    </row>
    <row r="13" spans="3:14" ht="15" customHeight="1">
      <c r="C13" s="183">
        <v>5</v>
      </c>
      <c r="D13" s="179">
        <v>-216867</v>
      </c>
      <c r="E13" s="122">
        <v>3514</v>
      </c>
      <c r="F13" s="122">
        <v>12944</v>
      </c>
      <c r="G13" s="122">
        <v>20845</v>
      </c>
      <c r="H13" s="122">
        <v>25624</v>
      </c>
      <c r="I13" s="122">
        <v>30623</v>
      </c>
      <c r="J13" s="122">
        <v>43686</v>
      </c>
      <c r="K13" s="122">
        <v>73094</v>
      </c>
      <c r="L13" s="122">
        <v>79542</v>
      </c>
      <c r="M13" s="122">
        <v>85885</v>
      </c>
      <c r="N13" s="122">
        <v>239067</v>
      </c>
    </row>
    <row r="14" spans="3:14" ht="15" customHeight="1">
      <c r="C14" s="183">
        <v>6</v>
      </c>
      <c r="D14" s="180">
        <v>-82603.5</v>
      </c>
      <c r="E14" s="124">
        <v>3841.18</v>
      </c>
      <c r="F14" s="124">
        <v>10195.86</v>
      </c>
      <c r="G14" s="124">
        <v>12804.1</v>
      </c>
      <c r="H14" s="124">
        <v>15665.71</v>
      </c>
      <c r="I14" s="124">
        <v>18931.16</v>
      </c>
      <c r="J14" s="124">
        <v>20059.03</v>
      </c>
      <c r="K14" s="124">
        <v>94375.2</v>
      </c>
      <c r="L14" s="125"/>
      <c r="M14" s="121"/>
      <c r="N14" s="121"/>
    </row>
    <row r="15" spans="3:14" ht="15" customHeight="1">
      <c r="C15" s="183">
        <v>7</v>
      </c>
      <c r="D15" s="179">
        <v>-1126131</v>
      </c>
      <c r="E15" s="122">
        <v>75518</v>
      </c>
      <c r="F15" s="122">
        <v>87950</v>
      </c>
      <c r="G15" s="122">
        <v>123285</v>
      </c>
      <c r="H15" s="122">
        <v>131782</v>
      </c>
      <c r="I15" s="122">
        <v>151282</v>
      </c>
      <c r="J15" s="122">
        <v>864591</v>
      </c>
      <c r="K15" s="122">
        <v>368001</v>
      </c>
      <c r="L15" s="122">
        <v>392690</v>
      </c>
      <c r="M15" s="122">
        <v>418490</v>
      </c>
      <c r="N15" s="122">
        <v>445392</v>
      </c>
    </row>
    <row r="16" spans="3:14" ht="18" customHeight="1">
      <c r="C16" s="183">
        <v>8</v>
      </c>
      <c r="D16" s="179">
        <v>-298422</v>
      </c>
      <c r="E16" s="122">
        <v>125460.52</v>
      </c>
      <c r="F16" s="122">
        <v>82278.24</v>
      </c>
      <c r="G16" s="122">
        <v>60220.9</v>
      </c>
      <c r="H16" s="122">
        <v>66982.09</v>
      </c>
      <c r="I16" s="122">
        <v>14725.33</v>
      </c>
      <c r="J16" s="122">
        <v>88215.78</v>
      </c>
      <c r="K16" s="121" t="s">
        <v>0</v>
      </c>
      <c r="L16" s="121" t="s">
        <v>0</v>
      </c>
      <c r="M16" s="121" t="s">
        <v>0</v>
      </c>
      <c r="N16" s="121" t="s">
        <v>0</v>
      </c>
    </row>
    <row r="17" spans="3:14" ht="15" customHeight="1">
      <c r="C17" s="183">
        <v>9</v>
      </c>
      <c r="D17" s="178">
        <v>-646221.12</v>
      </c>
      <c r="E17" s="120">
        <v>253770.24</v>
      </c>
      <c r="F17" s="120">
        <v>116848.68</v>
      </c>
      <c r="G17" s="120">
        <v>122142.56</v>
      </c>
      <c r="H17" s="120">
        <v>131648.9</v>
      </c>
      <c r="I17" s="120">
        <v>138742.79</v>
      </c>
      <c r="J17" s="120">
        <v>142116.38</v>
      </c>
      <c r="K17" s="120">
        <v>441693.8</v>
      </c>
      <c r="L17" s="120">
        <v>0</v>
      </c>
      <c r="M17" s="120">
        <v>0</v>
      </c>
      <c r="N17" s="120">
        <v>0</v>
      </c>
    </row>
    <row r="18" spans="3:14" ht="15" customHeight="1">
      <c r="C18" s="183">
        <v>10</v>
      </c>
      <c r="D18" s="179">
        <v>-403064</v>
      </c>
      <c r="E18" s="122">
        <v>-10787</v>
      </c>
      <c r="F18" s="122">
        <v>43968</v>
      </c>
      <c r="G18" s="122">
        <v>39756</v>
      </c>
      <c r="H18" s="122">
        <v>39358</v>
      </c>
      <c r="I18" s="122">
        <v>88444</v>
      </c>
      <c r="J18" s="122">
        <v>107543</v>
      </c>
      <c r="K18" s="122">
        <v>158845</v>
      </c>
      <c r="L18" s="122">
        <v>173006</v>
      </c>
      <c r="M18" s="122">
        <v>187876</v>
      </c>
      <c r="N18" s="122">
        <v>533554</v>
      </c>
    </row>
    <row r="19" spans="3:14" ht="15" customHeight="1">
      <c r="C19" s="183">
        <v>11</v>
      </c>
      <c r="D19" s="179">
        <v>-139056.69</v>
      </c>
      <c r="E19" s="122">
        <v>11467.72</v>
      </c>
      <c r="F19" s="122">
        <v>14150.91</v>
      </c>
      <c r="G19" s="122">
        <v>14565.02</v>
      </c>
      <c r="H19" s="122">
        <v>17540.41</v>
      </c>
      <c r="I19" s="122">
        <v>18321.82</v>
      </c>
      <c r="J19" s="122">
        <v>56041.81</v>
      </c>
      <c r="K19" s="122">
        <v>36200.01</v>
      </c>
      <c r="L19" s="122">
        <v>40111.83</v>
      </c>
      <c r="M19" s="122">
        <v>44219.23</v>
      </c>
      <c r="N19" s="122">
        <v>76735.01</v>
      </c>
    </row>
    <row r="20" spans="3:14" ht="15" customHeight="1">
      <c r="C20" s="183">
        <v>12</v>
      </c>
      <c r="D20" s="179">
        <v>-118588.5</v>
      </c>
      <c r="E20" s="122">
        <v>9263.12</v>
      </c>
      <c r="F20" s="122">
        <v>1321.95</v>
      </c>
      <c r="G20" s="122">
        <v>6025.09</v>
      </c>
      <c r="H20" s="122">
        <v>9197.06</v>
      </c>
      <c r="I20" s="122">
        <v>8487.07</v>
      </c>
      <c r="J20" s="122">
        <v>215124.07</v>
      </c>
      <c r="K20" s="121" t="s">
        <v>0</v>
      </c>
      <c r="L20" s="121" t="s">
        <v>0</v>
      </c>
      <c r="M20" s="121" t="s">
        <v>0</v>
      </c>
      <c r="N20" s="121" t="s">
        <v>0</v>
      </c>
    </row>
    <row r="21" spans="3:14" ht="15" customHeight="1">
      <c r="C21" s="183">
        <v>13</v>
      </c>
      <c r="D21" s="179">
        <v>-183240</v>
      </c>
      <c r="E21" s="122">
        <v>32173.99</v>
      </c>
      <c r="F21" s="122">
        <v>37039.44</v>
      </c>
      <c r="G21" s="122">
        <v>55821.97</v>
      </c>
      <c r="H21" s="122">
        <v>55973.95</v>
      </c>
      <c r="I21" s="122">
        <v>51961.61</v>
      </c>
      <c r="J21" s="122">
        <v>161437.6</v>
      </c>
      <c r="K21" s="121" t="s">
        <v>0</v>
      </c>
      <c r="L21" s="121" t="s">
        <v>0</v>
      </c>
      <c r="M21" s="121" t="s">
        <v>0</v>
      </c>
      <c r="N21" s="121" t="s">
        <v>0</v>
      </c>
    </row>
    <row r="22" spans="3:14" ht="15" customHeight="1">
      <c r="C22" s="183">
        <v>14</v>
      </c>
      <c r="D22" s="179">
        <v>-203375</v>
      </c>
      <c r="E22" s="122">
        <v>6093.96</v>
      </c>
      <c r="F22" s="122">
        <v>7311.6</v>
      </c>
      <c r="G22" s="122">
        <v>8437.7</v>
      </c>
      <c r="H22" s="122">
        <v>16421.78</v>
      </c>
      <c r="I22" s="122">
        <v>17978.63</v>
      </c>
      <c r="J22" s="122">
        <v>33687.89</v>
      </c>
      <c r="K22" s="122">
        <v>73916.73</v>
      </c>
      <c r="L22" s="122">
        <v>90919.56</v>
      </c>
      <c r="M22" s="122">
        <v>111007.95</v>
      </c>
      <c r="N22" s="122">
        <v>233340.4</v>
      </c>
    </row>
    <row r="23" spans="3:14" ht="15" customHeight="1">
      <c r="C23" s="183">
        <v>15</v>
      </c>
      <c r="D23" s="179">
        <v>-1283000</v>
      </c>
      <c r="E23" s="122">
        <v>-17460.44</v>
      </c>
      <c r="F23" s="122">
        <v>16336.66</v>
      </c>
      <c r="G23" s="122">
        <v>25501.58</v>
      </c>
      <c r="H23" s="122">
        <v>21821.43</v>
      </c>
      <c r="I23" s="122">
        <v>2565945.11</v>
      </c>
      <c r="J23" s="121" t="s">
        <v>0</v>
      </c>
      <c r="K23" s="121" t="s">
        <v>0</v>
      </c>
      <c r="L23" s="121" t="s">
        <v>0</v>
      </c>
      <c r="M23" s="121" t="s">
        <v>0</v>
      </c>
      <c r="N23" s="121" t="s">
        <v>0</v>
      </c>
    </row>
    <row r="24" spans="3:14" ht="15" customHeight="1">
      <c r="C24" s="183">
        <v>16</v>
      </c>
      <c r="D24" s="179">
        <v>-335266</v>
      </c>
      <c r="E24" s="122">
        <v>61068.31</v>
      </c>
      <c r="F24" s="122">
        <v>105584.43</v>
      </c>
      <c r="G24" s="122">
        <v>127196.29</v>
      </c>
      <c r="H24" s="122">
        <v>150626.6</v>
      </c>
      <c r="I24" s="122">
        <v>176404.51</v>
      </c>
      <c r="J24" s="121" t="s">
        <v>0</v>
      </c>
      <c r="K24" s="121" t="s">
        <v>0</v>
      </c>
      <c r="L24" s="121" t="s">
        <v>0</v>
      </c>
      <c r="M24" s="121" t="s">
        <v>0</v>
      </c>
      <c r="N24" s="121" t="s">
        <v>0</v>
      </c>
    </row>
    <row r="25" spans="3:14" ht="15" customHeight="1">
      <c r="C25" s="183">
        <v>17</v>
      </c>
      <c r="D25" s="179">
        <v>-275371.91</v>
      </c>
      <c r="E25" s="122">
        <v>43580.61</v>
      </c>
      <c r="F25" s="122">
        <v>29778.74</v>
      </c>
      <c r="G25" s="122">
        <v>58467.77</v>
      </c>
      <c r="H25" s="122">
        <v>77725.29</v>
      </c>
      <c r="I25" s="122">
        <v>85317.53</v>
      </c>
      <c r="J25" s="122">
        <v>207678.74</v>
      </c>
      <c r="K25" s="121" t="s">
        <v>0</v>
      </c>
      <c r="L25" s="121" t="s">
        <v>0</v>
      </c>
      <c r="M25" s="121" t="s">
        <v>0</v>
      </c>
      <c r="N25" s="121" t="s">
        <v>0</v>
      </c>
    </row>
    <row r="26" spans="3:14" ht="15" customHeight="1">
      <c r="C26" s="183">
        <v>18</v>
      </c>
      <c r="D26" s="179">
        <v>-95469.84</v>
      </c>
      <c r="E26" s="122">
        <v>8516.737500000001</v>
      </c>
      <c r="F26" s="122">
        <v>3237.534012130667</v>
      </c>
      <c r="G26" s="122">
        <v>9465.875594781639</v>
      </c>
      <c r="H26" s="122">
        <v>9222.338959378898</v>
      </c>
      <c r="I26" s="122">
        <v>8954.76467326505</v>
      </c>
      <c r="J26" s="122">
        <v>154888.15016259407</v>
      </c>
      <c r="K26" s="121" t="s">
        <v>0</v>
      </c>
      <c r="L26" s="121" t="s">
        <v>0</v>
      </c>
      <c r="M26" s="121" t="s">
        <v>0</v>
      </c>
      <c r="N26" s="121" t="s">
        <v>0</v>
      </c>
    </row>
    <row r="27" spans="3:14" ht="15" customHeight="1">
      <c r="C27" s="183">
        <v>19</v>
      </c>
      <c r="D27" s="179">
        <v>-144630</v>
      </c>
      <c r="E27" s="122">
        <v>24089</v>
      </c>
      <c r="F27" s="122">
        <v>24490</v>
      </c>
      <c r="G27" s="122">
        <v>28203</v>
      </c>
      <c r="H27" s="122">
        <v>32306</v>
      </c>
      <c r="I27" s="122">
        <v>141714</v>
      </c>
      <c r="J27" s="121" t="s">
        <v>0</v>
      </c>
      <c r="K27" s="121" t="s">
        <v>0</v>
      </c>
      <c r="L27" s="121" t="s">
        <v>0</v>
      </c>
      <c r="M27" s="121" t="s">
        <v>0</v>
      </c>
      <c r="N27" s="121" t="s">
        <v>0</v>
      </c>
    </row>
    <row r="28" spans="3:14" ht="15" customHeight="1">
      <c r="C28" s="183">
        <v>20</v>
      </c>
      <c r="D28" s="179">
        <v>-71400</v>
      </c>
      <c r="E28" s="122">
        <v>2841.32</v>
      </c>
      <c r="F28" s="122">
        <v>5950.43</v>
      </c>
      <c r="G28" s="122">
        <v>8131.47</v>
      </c>
      <c r="H28" s="122">
        <v>10608.98</v>
      </c>
      <c r="I28" s="122">
        <v>13441.16</v>
      </c>
      <c r="J28" s="122">
        <v>14166.94</v>
      </c>
      <c r="K28" s="122">
        <v>105317.55</v>
      </c>
      <c r="L28" s="121" t="s">
        <v>0</v>
      </c>
      <c r="M28" s="121" t="s">
        <v>0</v>
      </c>
      <c r="N28" s="121" t="s">
        <v>0</v>
      </c>
    </row>
    <row r="29" spans="3:14" ht="15" customHeight="1">
      <c r="C29" s="183">
        <v>21</v>
      </c>
      <c r="D29" s="179">
        <v>-1192284.07</v>
      </c>
      <c r="E29" s="122">
        <v>120176.02</v>
      </c>
      <c r="F29" s="122">
        <v>89504.95</v>
      </c>
      <c r="G29" s="122">
        <v>275285.75</v>
      </c>
      <c r="H29" s="122">
        <v>444459.53</v>
      </c>
      <c r="I29" s="122">
        <v>560714.86</v>
      </c>
      <c r="J29" s="122">
        <v>616984.06</v>
      </c>
      <c r="K29" s="121" t="s">
        <v>0</v>
      </c>
      <c r="L29" s="121" t="s">
        <v>0</v>
      </c>
      <c r="M29" s="121" t="s">
        <v>0</v>
      </c>
      <c r="N29" s="121" t="s">
        <v>0</v>
      </c>
    </row>
    <row r="30" spans="3:14" ht="15" customHeight="1">
      <c r="C30" s="183">
        <v>22</v>
      </c>
      <c r="D30" s="126">
        <v>-889900</v>
      </c>
      <c r="E30" s="126">
        <v>332815.2</v>
      </c>
      <c r="F30" s="126">
        <v>246913.79</v>
      </c>
      <c r="G30" s="126">
        <v>295634.69</v>
      </c>
      <c r="H30" s="126">
        <v>350770.16</v>
      </c>
      <c r="I30" s="126">
        <v>412416.05</v>
      </c>
      <c r="J30" s="127"/>
      <c r="K30" s="128"/>
      <c r="L30" s="128"/>
      <c r="M30" s="128"/>
      <c r="N30" s="128"/>
    </row>
    <row r="31" spans="3:14" ht="15" customHeight="1">
      <c r="C31" s="183">
        <v>23</v>
      </c>
      <c r="D31" s="179">
        <v>-510055</v>
      </c>
      <c r="E31" s="122">
        <v>74105.83</v>
      </c>
      <c r="F31" s="122">
        <v>43028.66</v>
      </c>
      <c r="G31" s="122">
        <v>54582.73</v>
      </c>
      <c r="H31" s="122">
        <v>65955.49</v>
      </c>
      <c r="I31" s="122">
        <v>76661.48</v>
      </c>
      <c r="J31" s="122">
        <v>88128.13</v>
      </c>
      <c r="K31" s="122">
        <v>96384.66</v>
      </c>
      <c r="L31" s="122">
        <v>104976.35</v>
      </c>
      <c r="M31" s="122">
        <v>113997.62</v>
      </c>
      <c r="N31" s="122">
        <v>547839.59</v>
      </c>
    </row>
    <row r="32" spans="3:14" ht="15" customHeight="1">
      <c r="C32" s="183">
        <v>24</v>
      </c>
      <c r="D32" s="179">
        <v>-117000</v>
      </c>
      <c r="E32" s="122">
        <v>14429.33</v>
      </c>
      <c r="F32" s="122">
        <v>8248.94</v>
      </c>
      <c r="G32" s="122">
        <v>21989.07</v>
      </c>
      <c r="H32" s="122">
        <v>26195.38</v>
      </c>
      <c r="I32" s="122">
        <v>25022.28</v>
      </c>
      <c r="J32" s="122">
        <v>120979.87</v>
      </c>
      <c r="K32" s="121" t="s">
        <v>0</v>
      </c>
      <c r="L32" s="121" t="s">
        <v>0</v>
      </c>
      <c r="M32" s="121" t="s">
        <v>0</v>
      </c>
      <c r="N32" s="121" t="s">
        <v>0</v>
      </c>
    </row>
    <row r="33" spans="3:14" ht="15" customHeight="1">
      <c r="C33" s="183">
        <v>25</v>
      </c>
      <c r="D33" s="179">
        <v>-262206.5</v>
      </c>
      <c r="E33" s="122">
        <v>-65368.56</v>
      </c>
      <c r="F33" s="122">
        <v>117149.59</v>
      </c>
      <c r="G33" s="122">
        <v>136870.64</v>
      </c>
      <c r="H33" s="122">
        <v>134347.32</v>
      </c>
      <c r="I33" s="122">
        <v>130453.14</v>
      </c>
      <c r="J33" s="122">
        <v>278252.63</v>
      </c>
      <c r="K33" s="121" t="s">
        <v>0</v>
      </c>
      <c r="L33" s="121" t="s">
        <v>0</v>
      </c>
      <c r="M33" s="121" t="s">
        <v>0</v>
      </c>
      <c r="N33" s="121" t="s">
        <v>0</v>
      </c>
    </row>
    <row r="34" spans="2:14" ht="13.5" customHeight="1">
      <c r="B34" s="119"/>
      <c r="C34" s="184" t="s">
        <v>1</v>
      </c>
      <c r="D34" s="181">
        <v>-9883658.670000002</v>
      </c>
      <c r="E34" s="141">
        <v>1139306.293644204</v>
      </c>
      <c r="F34" s="141">
        <v>1282649.9474889536</v>
      </c>
      <c r="G34" s="141">
        <v>1749661.880023824</v>
      </c>
      <c r="H34" s="141">
        <v>2127349.9278974896</v>
      </c>
      <c r="I34" s="141">
        <v>5281326.284541675</v>
      </c>
      <c r="J34" s="141">
        <v>3970784.1171350996</v>
      </c>
      <c r="K34" s="141">
        <v>1822827.7999999998</v>
      </c>
      <c r="L34" s="141">
        <v>1029912.4699999999</v>
      </c>
      <c r="M34" s="141">
        <v>1114260.0899999999</v>
      </c>
      <c r="N34" s="141">
        <v>2320798.85</v>
      </c>
    </row>
    <row r="35" spans="2:14" ht="13.5" customHeight="1">
      <c r="B35" s="129"/>
      <c r="C35" s="130"/>
      <c r="D35" s="131"/>
      <c r="E35" s="132"/>
      <c r="F35" s="132"/>
      <c r="G35" s="133"/>
      <c r="H35" s="133"/>
      <c r="I35" s="133"/>
      <c r="J35" s="134"/>
      <c r="K35" s="134"/>
      <c r="L35" s="134"/>
      <c r="M35" s="134"/>
      <c r="N35" s="134"/>
    </row>
    <row r="36" spans="2:14" ht="13.5" customHeight="1">
      <c r="B36" s="129"/>
      <c r="C36" s="138" t="s">
        <v>5</v>
      </c>
      <c r="D36" s="139">
        <f>D34+NPV(0.1,E34:N34)</f>
        <v>3283547.440378085</v>
      </c>
      <c r="E36" s="132"/>
      <c r="F36" s="133"/>
      <c r="G36" s="133"/>
      <c r="H36" s="133"/>
      <c r="I36" s="133"/>
      <c r="J36" s="134"/>
      <c r="K36" s="134"/>
      <c r="L36" s="134"/>
      <c r="M36" s="134"/>
      <c r="N36" s="134"/>
    </row>
    <row r="37" spans="2:14" ht="13.5" customHeight="1">
      <c r="B37" s="129"/>
      <c r="C37" s="138" t="s">
        <v>93</v>
      </c>
      <c r="D37" s="140">
        <f>IRR(D34:N34)</f>
        <v>0.16662348974543062</v>
      </c>
      <c r="E37" s="132"/>
      <c r="F37" s="133"/>
      <c r="G37" s="133"/>
      <c r="H37" s="133"/>
      <c r="I37" s="133"/>
      <c r="J37" s="134"/>
      <c r="K37" s="134"/>
      <c r="L37" s="134"/>
      <c r="M37" s="134"/>
      <c r="N37" s="134"/>
    </row>
    <row r="38" spans="2:14" ht="13.5" customHeight="1">
      <c r="B38" s="129"/>
      <c r="C38" s="185" t="s">
        <v>110</v>
      </c>
      <c r="D38" s="131"/>
      <c r="E38" s="142"/>
      <c r="F38" s="132"/>
      <c r="G38" s="133"/>
      <c r="H38" s="133"/>
      <c r="I38" s="133"/>
      <c r="J38" s="134"/>
      <c r="K38" s="134"/>
      <c r="L38" s="134"/>
      <c r="M38" s="117"/>
      <c r="N38" s="117"/>
    </row>
    <row r="39" spans="2:14" ht="12.75">
      <c r="B39" s="135"/>
      <c r="C39" s="182">
        <v>1</v>
      </c>
      <c r="D39" s="186">
        <v>0.15207952632518773</v>
      </c>
      <c r="E39" s="132"/>
      <c r="F39" s="132"/>
      <c r="G39" s="133"/>
      <c r="H39" s="133"/>
      <c r="I39" s="133"/>
      <c r="J39" s="134"/>
      <c r="K39" s="134"/>
      <c r="L39" s="134"/>
      <c r="M39" s="117"/>
      <c r="N39" s="117"/>
    </row>
    <row r="40" spans="2:14" ht="12.75">
      <c r="B40" s="135"/>
      <c r="C40" s="183">
        <v>2</v>
      </c>
      <c r="D40" s="187">
        <v>0.18111197797653045</v>
      </c>
      <c r="E40" s="132"/>
      <c r="F40" s="132"/>
      <c r="G40" s="133"/>
      <c r="H40" s="133"/>
      <c r="I40" s="133"/>
      <c r="J40" s="134"/>
      <c r="K40" s="134"/>
      <c r="L40" s="134"/>
      <c r="M40" s="117"/>
      <c r="N40" s="117"/>
    </row>
    <row r="41" spans="2:14" ht="12.75">
      <c r="B41" s="135"/>
      <c r="C41" s="183">
        <v>3</v>
      </c>
      <c r="D41" s="187">
        <v>0.18484081449394507</v>
      </c>
      <c r="E41" s="132"/>
      <c r="F41" s="132"/>
      <c r="G41" s="133"/>
      <c r="H41" s="133"/>
      <c r="I41" s="133"/>
      <c r="J41" s="134"/>
      <c r="K41" s="134"/>
      <c r="L41" s="134"/>
      <c r="M41" s="117"/>
      <c r="N41" s="117"/>
    </row>
    <row r="42" spans="2:14" ht="12.75">
      <c r="B42" s="135"/>
      <c r="C42" s="183">
        <v>4</v>
      </c>
      <c r="D42" s="188">
        <v>0.146597604663128</v>
      </c>
      <c r="E42" s="132"/>
      <c r="F42" s="132"/>
      <c r="G42" s="133"/>
      <c r="H42" s="133"/>
      <c r="I42" s="133"/>
      <c r="J42" s="134"/>
      <c r="K42" s="134"/>
      <c r="L42" s="134"/>
      <c r="M42" s="134"/>
      <c r="N42" s="134"/>
    </row>
    <row r="43" spans="2:14" ht="12.75">
      <c r="B43" s="135"/>
      <c r="C43" s="183">
        <v>5</v>
      </c>
      <c r="D43" s="187">
        <v>0.1483539657730344</v>
      </c>
      <c r="E43" s="132"/>
      <c r="F43" s="132"/>
      <c r="G43" s="133"/>
      <c r="H43" s="133"/>
      <c r="I43" s="133"/>
      <c r="J43" s="134"/>
      <c r="K43" s="134"/>
      <c r="L43" s="134"/>
      <c r="M43" s="134"/>
      <c r="N43" s="134"/>
    </row>
    <row r="44" spans="2:14" ht="12.75">
      <c r="B44" s="135"/>
      <c r="C44" s="183">
        <v>6</v>
      </c>
      <c r="D44" s="188">
        <v>0.167389031682323</v>
      </c>
      <c r="E44" s="132"/>
      <c r="F44" s="132"/>
      <c r="G44" s="133"/>
      <c r="H44" s="133"/>
      <c r="I44" s="133"/>
      <c r="J44" s="134"/>
      <c r="K44" s="134"/>
      <c r="L44" s="134"/>
      <c r="M44" s="134"/>
      <c r="N44" s="134"/>
    </row>
    <row r="45" spans="2:14" ht="12.75">
      <c r="B45" s="135"/>
      <c r="C45" s="183">
        <v>7</v>
      </c>
      <c r="D45" s="188">
        <v>0.14445660485570833</v>
      </c>
      <c r="E45" s="132"/>
      <c r="F45" s="132"/>
      <c r="G45" s="133"/>
      <c r="H45" s="133"/>
      <c r="I45" s="133"/>
      <c r="J45" s="134"/>
      <c r="K45" s="134"/>
      <c r="L45" s="134"/>
      <c r="M45" s="134"/>
      <c r="N45" s="134"/>
    </row>
    <row r="46" spans="2:14" ht="12.75">
      <c r="B46" s="135"/>
      <c r="C46" s="183">
        <v>8</v>
      </c>
      <c r="D46" s="187">
        <v>0.20384368592263757</v>
      </c>
      <c r="E46" s="132"/>
      <c r="F46" s="132"/>
      <c r="G46" s="133"/>
      <c r="H46" s="133"/>
      <c r="I46" s="133"/>
      <c r="J46" s="134"/>
      <c r="K46" s="134"/>
      <c r="L46" s="134"/>
      <c r="M46" s="134"/>
      <c r="N46" s="134"/>
    </row>
    <row r="47" spans="2:14" ht="12.75">
      <c r="B47" s="135"/>
      <c r="C47" s="183">
        <v>9</v>
      </c>
      <c r="D47" s="188">
        <v>0.17274311490429994</v>
      </c>
      <c r="E47" s="132"/>
      <c r="F47" s="132"/>
      <c r="G47" s="133"/>
      <c r="H47" s="133"/>
      <c r="I47" s="133"/>
      <c r="J47" s="134"/>
      <c r="K47" s="134"/>
      <c r="L47" s="134"/>
      <c r="M47" s="134"/>
      <c r="N47" s="134"/>
    </row>
    <row r="48" spans="2:14" ht="12.75">
      <c r="B48" s="135"/>
      <c r="C48" s="183">
        <v>10</v>
      </c>
      <c r="D48" s="188">
        <v>0.13997355637822473</v>
      </c>
      <c r="E48" s="132"/>
      <c r="F48" s="132"/>
      <c r="G48" s="133"/>
      <c r="H48" s="133"/>
      <c r="I48" s="133"/>
      <c r="J48" s="134"/>
      <c r="K48" s="134"/>
      <c r="L48" s="134"/>
      <c r="M48" s="134"/>
      <c r="N48" s="134"/>
    </row>
    <row r="49" spans="2:14" ht="12.75">
      <c r="B49" s="135"/>
      <c r="C49" s="183">
        <v>11</v>
      </c>
      <c r="D49" s="188">
        <v>0.1487342096443387</v>
      </c>
      <c r="E49" s="132"/>
      <c r="F49" s="132"/>
      <c r="G49" s="133"/>
      <c r="H49" s="133"/>
      <c r="I49" s="133"/>
      <c r="J49" s="134"/>
      <c r="K49" s="134"/>
      <c r="L49" s="134"/>
      <c r="M49" s="134"/>
      <c r="N49" s="134"/>
    </row>
    <row r="50" spans="2:14" ht="12.75">
      <c r="B50" s="135"/>
      <c r="C50" s="183">
        <v>12</v>
      </c>
      <c r="D50" s="188">
        <v>0.14438126069113832</v>
      </c>
      <c r="E50" s="132"/>
      <c r="F50" s="132"/>
      <c r="G50" s="133"/>
      <c r="H50" s="133"/>
      <c r="I50" s="133"/>
      <c r="J50" s="134"/>
      <c r="K50" s="134"/>
      <c r="L50" s="134"/>
      <c r="M50" s="134"/>
      <c r="N50" s="134"/>
    </row>
    <row r="51" spans="2:14" ht="12.75">
      <c r="B51" s="135"/>
      <c r="C51" s="183">
        <v>13</v>
      </c>
      <c r="D51" s="188">
        <v>0.20605013118827387</v>
      </c>
      <c r="E51" s="132"/>
      <c r="F51" s="132"/>
      <c r="G51" s="133"/>
      <c r="H51" s="133"/>
      <c r="I51" s="133"/>
      <c r="J51" s="134"/>
      <c r="K51" s="134"/>
      <c r="L51" s="134"/>
      <c r="M51" s="134"/>
      <c r="N51" s="134"/>
    </row>
    <row r="52" spans="2:14" ht="12.75">
      <c r="B52" s="135"/>
      <c r="C52" s="183">
        <v>14</v>
      </c>
      <c r="D52" s="188">
        <v>0.14446541064781515</v>
      </c>
      <c r="E52" s="132"/>
      <c r="F52" s="132"/>
      <c r="G52" s="133"/>
      <c r="H52" s="133"/>
      <c r="I52" s="133"/>
      <c r="J52" s="134"/>
      <c r="K52" s="134"/>
      <c r="L52" s="134"/>
      <c r="M52" s="134"/>
      <c r="N52" s="134"/>
    </row>
    <row r="53" spans="2:14" ht="12.75">
      <c r="B53" s="135"/>
      <c r="C53" s="183">
        <v>15</v>
      </c>
      <c r="D53" s="188">
        <v>0.1534230042117677</v>
      </c>
      <c r="E53" s="132"/>
      <c r="F53" s="132"/>
      <c r="G53" s="133"/>
      <c r="H53" s="133"/>
      <c r="I53" s="133"/>
      <c r="J53" s="134"/>
      <c r="K53" s="134"/>
      <c r="L53" s="134"/>
      <c r="M53" s="134"/>
      <c r="N53" s="134"/>
    </row>
    <row r="54" spans="2:14" ht="12.75">
      <c r="B54" s="135"/>
      <c r="C54" s="183">
        <v>16</v>
      </c>
      <c r="D54" s="188">
        <v>0.2069651742247831</v>
      </c>
      <c r="E54" s="132"/>
      <c r="F54" s="135"/>
      <c r="G54" s="135"/>
      <c r="H54" s="135"/>
      <c r="I54" s="135"/>
      <c r="J54" s="135"/>
      <c r="K54" s="135"/>
      <c r="L54" s="135"/>
      <c r="M54" s="135"/>
      <c r="N54" s="135"/>
    </row>
    <row r="55" spans="2:14" ht="12.75">
      <c r="B55" s="135"/>
      <c r="C55" s="183">
        <v>17</v>
      </c>
      <c r="D55" s="188">
        <v>0.15013028273656848</v>
      </c>
      <c r="E55" s="132"/>
      <c r="F55" s="135"/>
      <c r="G55" s="135"/>
      <c r="H55" s="135"/>
      <c r="I55" s="135"/>
      <c r="J55" s="135"/>
      <c r="K55" s="135"/>
      <c r="L55" s="135"/>
      <c r="M55" s="135"/>
      <c r="N55" s="135"/>
    </row>
    <row r="56" spans="2:14" ht="12.75">
      <c r="B56" s="135"/>
      <c r="C56" s="183">
        <v>18</v>
      </c>
      <c r="D56" s="189">
        <v>0.14358751220041377</v>
      </c>
      <c r="E56" s="132"/>
      <c r="F56" s="135"/>
      <c r="G56" s="135"/>
      <c r="H56" s="135"/>
      <c r="I56" s="135"/>
      <c r="J56" s="135"/>
      <c r="K56" s="135"/>
      <c r="L56" s="135"/>
      <c r="M56" s="135"/>
      <c r="N56" s="135"/>
    </row>
    <row r="57" spans="2:14" ht="12.75">
      <c r="B57" s="135"/>
      <c r="C57" s="183">
        <v>19</v>
      </c>
      <c r="D57" s="188">
        <v>0.15497098749462213</v>
      </c>
      <c r="E57" s="132"/>
      <c r="F57" s="135"/>
      <c r="G57" s="135"/>
      <c r="H57" s="135"/>
      <c r="I57" s="135"/>
      <c r="J57" s="135"/>
      <c r="K57" s="135"/>
      <c r="L57" s="135"/>
      <c r="M57" s="135"/>
      <c r="N57" s="135"/>
    </row>
    <row r="58" spans="2:14" ht="12.75">
      <c r="B58" s="135"/>
      <c r="C58" s="183">
        <v>20</v>
      </c>
      <c r="D58" s="188">
        <v>0.14823064489588011</v>
      </c>
      <c r="E58" s="132"/>
      <c r="F58" s="135"/>
      <c r="G58" s="135"/>
      <c r="H58" s="135"/>
      <c r="I58" s="135"/>
      <c r="J58" s="135"/>
      <c r="K58" s="135"/>
      <c r="L58" s="135"/>
      <c r="M58" s="135"/>
      <c r="N58" s="135"/>
    </row>
    <row r="59" spans="2:14" ht="12.75">
      <c r="B59" s="135"/>
      <c r="C59" s="183">
        <v>21</v>
      </c>
      <c r="D59" s="188">
        <v>0.14074936507445202</v>
      </c>
      <c r="E59" s="132"/>
      <c r="F59" s="135"/>
      <c r="G59" s="135"/>
      <c r="H59" s="135"/>
      <c r="I59" s="135"/>
      <c r="J59" s="135"/>
      <c r="K59" s="135"/>
      <c r="L59" s="135"/>
      <c r="M59" s="135"/>
      <c r="N59" s="135"/>
    </row>
    <row r="60" spans="2:14" ht="12.75">
      <c r="B60" s="135"/>
      <c r="C60" s="183">
        <v>22</v>
      </c>
      <c r="D60" s="188">
        <v>0.23127294696265155</v>
      </c>
      <c r="E60" s="132"/>
      <c r="F60" s="135"/>
      <c r="G60" s="135"/>
      <c r="H60" s="135"/>
      <c r="I60" s="135"/>
      <c r="J60" s="135"/>
      <c r="K60" s="135"/>
      <c r="L60" s="135"/>
      <c r="M60" s="135"/>
      <c r="N60" s="135"/>
    </row>
    <row r="61" spans="2:14" ht="12.75">
      <c r="B61" s="135"/>
      <c r="C61" s="183">
        <v>23</v>
      </c>
      <c r="D61" s="188">
        <v>0.1407401154119241</v>
      </c>
      <c r="E61" s="132"/>
      <c r="F61" s="135"/>
      <c r="G61" s="135"/>
      <c r="H61" s="135"/>
      <c r="I61" s="135"/>
      <c r="J61" s="135"/>
      <c r="K61" s="135"/>
      <c r="L61" s="135"/>
      <c r="M61" s="135"/>
      <c r="N61" s="135"/>
    </row>
    <row r="62" spans="2:14" ht="12.75">
      <c r="B62" s="135"/>
      <c r="C62" s="183">
        <v>24</v>
      </c>
      <c r="D62" s="188">
        <v>0.14101607206881184</v>
      </c>
      <c r="E62" s="132"/>
      <c r="F62" s="135"/>
      <c r="G62" s="135"/>
      <c r="H62" s="135"/>
      <c r="I62" s="135"/>
      <c r="J62" s="135"/>
      <c r="K62" s="135"/>
      <c r="L62" s="135"/>
      <c r="M62" s="135"/>
      <c r="N62" s="135"/>
    </row>
    <row r="63" spans="2:14" ht="12.75">
      <c r="B63" s="135"/>
      <c r="C63" s="190">
        <v>25</v>
      </c>
      <c r="D63" s="191">
        <v>0.25135008166346196</v>
      </c>
      <c r="E63" s="132"/>
      <c r="F63" s="135"/>
      <c r="G63" s="135"/>
      <c r="H63" s="135"/>
      <c r="I63" s="135"/>
      <c r="J63" s="135"/>
      <c r="K63" s="135"/>
      <c r="L63" s="135"/>
      <c r="M63" s="135"/>
      <c r="N63" s="135"/>
    </row>
    <row r="64" spans="2:14" ht="12.75">
      <c r="B64" s="135"/>
      <c r="C64" s="130"/>
      <c r="D64" s="131"/>
      <c r="E64" s="132"/>
      <c r="F64" s="132"/>
      <c r="G64" s="133"/>
      <c r="H64" s="133"/>
      <c r="I64" s="133"/>
      <c r="J64" s="134"/>
      <c r="K64" s="134"/>
      <c r="L64" s="134"/>
      <c r="M64" s="134"/>
      <c r="N64" s="134"/>
    </row>
    <row r="65" spans="2:14" ht="12.75">
      <c r="B65" s="135"/>
      <c r="C65" s="130"/>
      <c r="D65" s="131"/>
      <c r="E65" s="132"/>
      <c r="F65" s="135"/>
      <c r="G65" s="135"/>
      <c r="H65" s="135"/>
      <c r="I65" s="135"/>
      <c r="J65" s="135"/>
      <c r="K65" s="135"/>
      <c r="L65" s="135"/>
      <c r="M65" s="135"/>
      <c r="N65" s="135"/>
    </row>
    <row r="66" spans="2:14" ht="12.75">
      <c r="B66" s="135"/>
      <c r="C66" s="130"/>
      <c r="D66" s="131"/>
      <c r="E66" s="132"/>
      <c r="F66" s="132"/>
      <c r="G66" s="133"/>
      <c r="H66" s="133"/>
      <c r="I66" s="133"/>
      <c r="J66" s="134"/>
      <c r="K66" s="134"/>
      <c r="L66" s="134"/>
      <c r="M66" s="134"/>
      <c r="N66" s="134"/>
    </row>
    <row r="67" spans="2:14" ht="12.75">
      <c r="B67" s="135"/>
      <c r="C67" s="130"/>
      <c r="D67" s="131"/>
      <c r="E67" s="132"/>
      <c r="F67" s="135"/>
      <c r="G67" s="135"/>
      <c r="H67" s="135"/>
      <c r="I67" s="135"/>
      <c r="J67" s="135"/>
      <c r="K67" s="135"/>
      <c r="L67" s="135"/>
      <c r="M67" s="135"/>
      <c r="N67" s="135"/>
    </row>
    <row r="68" spans="2:14" ht="12.75">
      <c r="B68" s="135"/>
      <c r="C68" s="130"/>
      <c r="D68" s="131"/>
      <c r="E68" s="132"/>
      <c r="F68" s="135"/>
      <c r="G68" s="135"/>
      <c r="H68" s="135"/>
      <c r="I68" s="135"/>
      <c r="J68" s="135"/>
      <c r="K68" s="135"/>
      <c r="L68" s="135"/>
      <c r="M68" s="135"/>
      <c r="N68" s="135"/>
    </row>
    <row r="69" spans="2:14" ht="12.75">
      <c r="B69" s="135"/>
      <c r="C69" s="130"/>
      <c r="D69" s="131"/>
      <c r="E69" s="132"/>
      <c r="F69" s="135"/>
      <c r="G69" s="135"/>
      <c r="H69" s="135"/>
      <c r="I69" s="135"/>
      <c r="J69" s="135"/>
      <c r="K69" s="135"/>
      <c r="L69" s="135"/>
      <c r="M69" s="135"/>
      <c r="N69" s="135"/>
    </row>
    <row r="70" spans="2:14" ht="12.75">
      <c r="B70" s="135"/>
      <c r="C70" s="130"/>
      <c r="D70" s="131"/>
      <c r="E70" s="135"/>
      <c r="F70" s="135"/>
      <c r="G70" s="135"/>
      <c r="H70" s="135"/>
      <c r="I70" s="135"/>
      <c r="J70" s="135"/>
      <c r="K70" s="135"/>
      <c r="L70" s="135"/>
      <c r="M70" s="135"/>
      <c r="N70" s="135"/>
    </row>
    <row r="71" spans="2:14" ht="12.75">
      <c r="B71" s="135"/>
      <c r="C71" s="130"/>
      <c r="D71" s="131"/>
      <c r="E71" s="135"/>
      <c r="F71" s="135"/>
      <c r="G71" s="135"/>
      <c r="H71" s="135"/>
      <c r="I71" s="135"/>
      <c r="J71" s="135"/>
      <c r="K71" s="135"/>
      <c r="L71" s="135"/>
      <c r="M71" s="135"/>
      <c r="N71" s="135"/>
    </row>
    <row r="72" spans="2:14" ht="12.75">
      <c r="B72" s="135"/>
      <c r="C72" s="130"/>
      <c r="D72" s="131"/>
      <c r="E72" s="132"/>
      <c r="F72" s="132"/>
      <c r="G72" s="133"/>
      <c r="H72" s="133"/>
      <c r="I72" s="133"/>
      <c r="J72" s="134"/>
      <c r="K72" s="134"/>
      <c r="L72" s="134"/>
      <c r="M72" s="134"/>
      <c r="N72" s="134"/>
    </row>
  </sheetData>
  <sheetProtection/>
  <mergeCells count="2">
    <mergeCell ref="C7:C8"/>
    <mergeCell ref="D7:N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N51"/>
  <sheetViews>
    <sheetView zoomScalePageLayoutView="0" workbookViewId="0" topLeftCell="A1">
      <selection activeCell="A1" sqref="A1"/>
    </sheetView>
  </sheetViews>
  <sheetFormatPr defaultColWidth="11.421875" defaultRowHeight="15"/>
  <cols>
    <col min="1" max="1" width="7.7109375" style="0" customWidth="1"/>
    <col min="2" max="2" width="6.421875" style="0" customWidth="1"/>
    <col min="3" max="3" width="38.8515625" style="0" customWidth="1"/>
    <col min="4" max="13" width="11.7109375" style="0" customWidth="1"/>
  </cols>
  <sheetData>
    <row r="1" ht="12.75" customHeight="1"/>
    <row r="2" spans="2:4" s="26" customFormat="1" ht="23.25">
      <c r="B2" s="25" t="s">
        <v>66</v>
      </c>
      <c r="D2" s="27"/>
    </row>
    <row r="3" s="26" customFormat="1" ht="12.75"/>
    <row r="4" spans="2:8" s="26" customFormat="1" ht="18">
      <c r="B4" s="28" t="s">
        <v>55</v>
      </c>
      <c r="F4" s="29"/>
      <c r="G4" s="93" t="s">
        <v>11</v>
      </c>
      <c r="H4" s="94">
        <f>'User''s Guide'!$D$9</f>
        <v>41123</v>
      </c>
    </row>
    <row r="6" spans="3:13" ht="15">
      <c r="C6" s="176" t="s">
        <v>110</v>
      </c>
      <c r="D6" s="107" t="s">
        <v>69</v>
      </c>
      <c r="E6" s="107" t="s">
        <v>70</v>
      </c>
      <c r="F6" s="107" t="s">
        <v>71</v>
      </c>
      <c r="G6" s="107" t="s">
        <v>72</v>
      </c>
      <c r="H6" s="107" t="s">
        <v>73</v>
      </c>
      <c r="I6" s="107" t="s">
        <v>74</v>
      </c>
      <c r="J6" s="107" t="s">
        <v>75</v>
      </c>
      <c r="K6" s="107" t="s">
        <v>76</v>
      </c>
      <c r="L6" s="107" t="s">
        <v>77</v>
      </c>
      <c r="M6" s="107" t="s">
        <v>78</v>
      </c>
    </row>
    <row r="7" spans="3:13" ht="15">
      <c r="C7" s="177">
        <v>1</v>
      </c>
      <c r="D7" s="96">
        <v>18514.439999999995</v>
      </c>
      <c r="E7" s="96">
        <v>20365.884000000002</v>
      </c>
      <c r="F7" s="96">
        <v>22402.472400000002</v>
      </c>
      <c r="G7" s="96">
        <v>27380.799600000006</v>
      </c>
      <c r="H7" s="96">
        <v>30118.87956000001</v>
      </c>
      <c r="I7" s="108"/>
      <c r="J7" s="108"/>
      <c r="K7" s="108"/>
      <c r="L7" s="108"/>
      <c r="M7" s="108"/>
    </row>
    <row r="8" spans="3:13" ht="15">
      <c r="C8" s="177">
        <v>2</v>
      </c>
      <c r="D8" s="108">
        <v>62942.84</v>
      </c>
      <c r="E8" s="108">
        <v>65611.62</v>
      </c>
      <c r="F8" s="108">
        <v>68393.55</v>
      </c>
      <c r="G8" s="108">
        <v>71293.44</v>
      </c>
      <c r="H8" s="108">
        <v>74316.28</v>
      </c>
      <c r="I8" s="108">
        <v>76545.7684</v>
      </c>
      <c r="J8" s="108">
        <v>78842.141452</v>
      </c>
      <c r="K8" s="108"/>
      <c r="L8" s="108"/>
      <c r="M8" s="108"/>
    </row>
    <row r="9" spans="3:13" ht="15">
      <c r="C9" s="177">
        <v>3</v>
      </c>
      <c r="D9" s="97">
        <v>52920</v>
      </c>
      <c r="E9" s="97">
        <v>56142.83</v>
      </c>
      <c r="F9" s="97">
        <v>57827.11</v>
      </c>
      <c r="G9" s="97">
        <v>59561.93</v>
      </c>
      <c r="H9" s="97">
        <v>61348.78</v>
      </c>
      <c r="I9" s="97">
        <v>61348.78</v>
      </c>
      <c r="J9" s="109"/>
      <c r="K9" s="109"/>
      <c r="L9" s="109"/>
      <c r="M9" s="109"/>
    </row>
    <row r="10" spans="3:13" ht="15">
      <c r="C10" s="177">
        <v>4</v>
      </c>
      <c r="D10" s="109">
        <v>103740</v>
      </c>
      <c r="E10" s="109">
        <v>103740</v>
      </c>
      <c r="F10" s="109">
        <v>103740</v>
      </c>
      <c r="G10" s="109">
        <v>103740</v>
      </c>
      <c r="H10" s="109">
        <v>103740</v>
      </c>
      <c r="I10" s="109">
        <v>103740</v>
      </c>
      <c r="J10" s="109">
        <v>103740</v>
      </c>
      <c r="K10" s="109">
        <v>103740</v>
      </c>
      <c r="L10" s="109">
        <v>103740</v>
      </c>
      <c r="M10" s="109">
        <v>103740</v>
      </c>
    </row>
    <row r="11" spans="3:13" ht="15">
      <c r="C11" s="177">
        <v>5</v>
      </c>
      <c r="D11" s="109">
        <v>50233.34</v>
      </c>
      <c r="E11" s="109">
        <v>50233.34</v>
      </c>
      <c r="F11" s="109">
        <v>50233.34</v>
      </c>
      <c r="G11" s="109">
        <v>50233.34</v>
      </c>
      <c r="H11" s="109">
        <v>50233.34</v>
      </c>
      <c r="I11" s="109">
        <v>50233.34</v>
      </c>
      <c r="J11" s="109">
        <v>50233.34</v>
      </c>
      <c r="K11" s="109">
        <v>50233.34</v>
      </c>
      <c r="L11" s="109">
        <v>50233.34</v>
      </c>
      <c r="M11" s="109">
        <v>50233.34</v>
      </c>
    </row>
    <row r="12" spans="3:13" ht="15">
      <c r="C12" s="177">
        <v>6</v>
      </c>
      <c r="D12" s="109">
        <v>2100</v>
      </c>
      <c r="E12" s="109">
        <v>2205</v>
      </c>
      <c r="F12" s="109">
        <v>2315.25</v>
      </c>
      <c r="G12" s="109">
        <v>2431.01</v>
      </c>
      <c r="H12" s="109">
        <v>2552.56</v>
      </c>
      <c r="I12" s="109">
        <v>2680.19</v>
      </c>
      <c r="J12" s="109">
        <v>2814.2</v>
      </c>
      <c r="K12" s="109"/>
      <c r="L12" s="109"/>
      <c r="M12" s="109"/>
    </row>
    <row r="13" spans="3:13" ht="15">
      <c r="C13" s="177">
        <v>7</v>
      </c>
      <c r="D13" s="109">
        <v>67832</v>
      </c>
      <c r="E13" s="109">
        <v>117608</v>
      </c>
      <c r="F13" s="109">
        <v>119960</v>
      </c>
      <c r="G13" s="109">
        <v>122359</v>
      </c>
      <c r="H13" s="109">
        <v>124807</v>
      </c>
      <c r="I13" s="109">
        <v>127303</v>
      </c>
      <c r="J13" s="109">
        <v>129849</v>
      </c>
      <c r="K13" s="109">
        <v>132446</v>
      </c>
      <c r="L13" s="109">
        <v>135095</v>
      </c>
      <c r="M13" s="109">
        <v>137797</v>
      </c>
    </row>
    <row r="14" spans="3:13" ht="15">
      <c r="C14" s="177">
        <v>8</v>
      </c>
      <c r="D14" s="109">
        <v>56388</v>
      </c>
      <c r="E14" s="109">
        <v>56388</v>
      </c>
      <c r="F14" s="109">
        <v>56388</v>
      </c>
      <c r="G14" s="109">
        <v>56388</v>
      </c>
      <c r="H14" s="109">
        <v>56388</v>
      </c>
      <c r="I14" s="109">
        <v>56388</v>
      </c>
      <c r="J14" s="109"/>
      <c r="K14" s="109"/>
      <c r="L14" s="109"/>
      <c r="M14" s="109"/>
    </row>
    <row r="15" spans="3:13" ht="15">
      <c r="C15" s="177">
        <v>9</v>
      </c>
      <c r="D15" s="109">
        <v>44467.33333333333</v>
      </c>
      <c r="E15" s="109">
        <v>44467.33333333333</v>
      </c>
      <c r="F15" s="109">
        <v>44467.33333333333</v>
      </c>
      <c r="G15" s="109">
        <v>44467.33333333333</v>
      </c>
      <c r="H15" s="109">
        <v>44467.33333333333</v>
      </c>
      <c r="I15" s="109">
        <v>44467.33333333333</v>
      </c>
      <c r="J15" s="109">
        <v>44467.33333333333</v>
      </c>
      <c r="K15" s="109"/>
      <c r="L15" s="109"/>
      <c r="M15" s="109"/>
    </row>
    <row r="16" spans="3:13" ht="15">
      <c r="C16" s="177">
        <v>10</v>
      </c>
      <c r="D16" s="109">
        <v>29396</v>
      </c>
      <c r="E16" s="109">
        <v>30867</v>
      </c>
      <c r="F16" s="109">
        <v>32410</v>
      </c>
      <c r="G16" s="109">
        <v>34031</v>
      </c>
      <c r="H16" s="109">
        <v>35732</v>
      </c>
      <c r="I16" s="109">
        <v>37519</v>
      </c>
      <c r="J16" s="109">
        <v>39395</v>
      </c>
      <c r="K16" s="109">
        <v>41365</v>
      </c>
      <c r="L16" s="109">
        <v>43433</v>
      </c>
      <c r="M16" s="109">
        <v>45605</v>
      </c>
    </row>
    <row r="17" spans="3:13" ht="15">
      <c r="C17" s="177">
        <v>11</v>
      </c>
      <c r="D17" s="109">
        <v>16648</v>
      </c>
      <c r="E17" s="109">
        <v>17480</v>
      </c>
      <c r="F17" s="109">
        <v>18354</v>
      </c>
      <c r="G17" s="109">
        <v>19272</v>
      </c>
      <c r="H17" s="109">
        <v>20236</v>
      </c>
      <c r="I17" s="109">
        <v>21248</v>
      </c>
      <c r="J17" s="109">
        <v>21248</v>
      </c>
      <c r="K17" s="109">
        <v>21248</v>
      </c>
      <c r="L17" s="109">
        <v>21248</v>
      </c>
      <c r="M17" s="109">
        <v>21248</v>
      </c>
    </row>
    <row r="18" spans="3:13" ht="15">
      <c r="C18" s="177">
        <v>12</v>
      </c>
      <c r="D18" s="109">
        <v>18094.56</v>
      </c>
      <c r="E18" s="109">
        <v>18094.56</v>
      </c>
      <c r="F18" s="109">
        <v>18094.56</v>
      </c>
      <c r="G18" s="109">
        <v>18094.56</v>
      </c>
      <c r="H18" s="109">
        <v>18094.56</v>
      </c>
      <c r="I18" s="109">
        <v>18094.56</v>
      </c>
      <c r="J18" s="109"/>
      <c r="K18" s="109"/>
      <c r="L18" s="109"/>
      <c r="M18" s="109"/>
    </row>
    <row r="19" spans="3:13" ht="15">
      <c r="C19" s="177">
        <v>13</v>
      </c>
      <c r="D19" s="109">
        <v>15699.84</v>
      </c>
      <c r="E19" s="109">
        <v>16484.83</v>
      </c>
      <c r="F19" s="109">
        <v>17309.07</v>
      </c>
      <c r="G19" s="109">
        <v>18174.530000000002</v>
      </c>
      <c r="H19" s="109">
        <v>19083.25</v>
      </c>
      <c r="I19" s="109">
        <v>20037.42</v>
      </c>
      <c r="J19" s="109"/>
      <c r="K19" s="109"/>
      <c r="L19" s="109"/>
      <c r="M19" s="109"/>
    </row>
    <row r="20" spans="3:13" ht="15">
      <c r="C20" s="177">
        <v>14</v>
      </c>
      <c r="D20" s="109">
        <v>19152</v>
      </c>
      <c r="E20" s="109">
        <v>20109.6</v>
      </c>
      <c r="F20" s="109">
        <v>21115.08</v>
      </c>
      <c r="G20" s="109">
        <v>22170.83</v>
      </c>
      <c r="H20" s="109">
        <v>23279.38</v>
      </c>
      <c r="I20" s="109">
        <v>24443.34</v>
      </c>
      <c r="J20" s="109">
        <v>25665.51</v>
      </c>
      <c r="K20" s="109">
        <v>26948.79</v>
      </c>
      <c r="L20" s="109">
        <v>28296.23</v>
      </c>
      <c r="M20" s="109">
        <v>29711.04</v>
      </c>
    </row>
    <row r="21" spans="3:13" ht="15">
      <c r="C21" s="177">
        <v>15</v>
      </c>
      <c r="D21" s="109">
        <v>60480</v>
      </c>
      <c r="E21" s="109">
        <v>63504</v>
      </c>
      <c r="F21" s="109">
        <v>71442</v>
      </c>
      <c r="G21" s="109">
        <v>75014.1</v>
      </c>
      <c r="H21" s="109">
        <v>91892.27</v>
      </c>
      <c r="I21" s="109"/>
      <c r="J21" s="109"/>
      <c r="K21" s="109"/>
      <c r="L21" s="109"/>
      <c r="M21" s="109"/>
    </row>
    <row r="22" spans="3:13" ht="15">
      <c r="C22" s="177">
        <v>16</v>
      </c>
      <c r="D22" s="109">
        <v>32256</v>
      </c>
      <c r="E22" s="109">
        <v>35159.04</v>
      </c>
      <c r="F22" s="109">
        <v>38323.35</v>
      </c>
      <c r="G22" s="109">
        <v>41772.45</v>
      </c>
      <c r="H22" s="109">
        <v>45531.98</v>
      </c>
      <c r="I22" s="109"/>
      <c r="J22" s="109"/>
      <c r="K22" s="109"/>
      <c r="L22" s="109"/>
      <c r="M22" s="109"/>
    </row>
    <row r="23" spans="3:13" ht="15">
      <c r="C23" s="177">
        <v>17</v>
      </c>
      <c r="D23" s="109">
        <v>73632</v>
      </c>
      <c r="E23" s="109">
        <v>73632</v>
      </c>
      <c r="F23" s="109">
        <v>73632</v>
      </c>
      <c r="G23" s="109">
        <v>73632</v>
      </c>
      <c r="H23" s="109">
        <v>73632</v>
      </c>
      <c r="I23" s="109">
        <v>73632</v>
      </c>
      <c r="J23" s="109"/>
      <c r="K23" s="109"/>
      <c r="L23" s="109"/>
      <c r="M23" s="109"/>
    </row>
    <row r="24" spans="3:13" ht="15">
      <c r="C24" s="177">
        <v>18</v>
      </c>
      <c r="D24" s="109">
        <v>5400</v>
      </c>
      <c r="E24" s="109">
        <v>5400</v>
      </c>
      <c r="F24" s="109">
        <v>5400</v>
      </c>
      <c r="G24" s="109">
        <v>5400</v>
      </c>
      <c r="H24" s="109">
        <v>5400</v>
      </c>
      <c r="I24" s="109">
        <v>5400</v>
      </c>
      <c r="J24" s="109"/>
      <c r="K24" s="109"/>
      <c r="L24" s="109">
        <v>7920</v>
      </c>
      <c r="M24" s="109">
        <v>7920</v>
      </c>
    </row>
    <row r="25" spans="3:13" ht="15">
      <c r="C25" s="177">
        <v>19</v>
      </c>
      <c r="D25" s="109">
        <v>11690.43</v>
      </c>
      <c r="E25" s="109">
        <v>15840</v>
      </c>
      <c r="F25" s="109">
        <v>17424</v>
      </c>
      <c r="G25" s="109">
        <v>19166</v>
      </c>
      <c r="H25" s="109">
        <v>21083</v>
      </c>
      <c r="I25" s="109"/>
      <c r="J25" s="109"/>
      <c r="K25" s="109"/>
      <c r="L25" s="109"/>
      <c r="M25" s="109"/>
    </row>
    <row r="26" spans="3:13" ht="15">
      <c r="C26" s="177">
        <v>20</v>
      </c>
      <c r="D26" s="109">
        <v>3300</v>
      </c>
      <c r="E26" s="109">
        <v>3465</v>
      </c>
      <c r="F26" s="109">
        <v>3638.25</v>
      </c>
      <c r="G26" s="109">
        <v>3820.16</v>
      </c>
      <c r="H26" s="109">
        <v>4011.17</v>
      </c>
      <c r="I26" s="109">
        <v>4211.73</v>
      </c>
      <c r="J26" s="109">
        <v>4422.32</v>
      </c>
      <c r="K26" s="109"/>
      <c r="L26" s="109"/>
      <c r="M26" s="109"/>
    </row>
    <row r="27" spans="3:13" ht="15">
      <c r="C27" s="177">
        <v>21</v>
      </c>
      <c r="D27" s="109">
        <v>49257.229999999996</v>
      </c>
      <c r="E27" s="109">
        <v>85039.06</v>
      </c>
      <c r="F27" s="109">
        <v>134539.87</v>
      </c>
      <c r="G27" s="109">
        <v>141340.91999999998</v>
      </c>
      <c r="H27" s="109">
        <v>148435.45</v>
      </c>
      <c r="I27" s="109">
        <v>130062.44</v>
      </c>
      <c r="J27" s="109"/>
      <c r="K27" s="109"/>
      <c r="L27" s="109"/>
      <c r="M27" s="109"/>
    </row>
    <row r="28" spans="3:13" ht="15">
      <c r="C28" s="177">
        <v>22</v>
      </c>
      <c r="D28" s="109">
        <v>41082</v>
      </c>
      <c r="E28" s="109">
        <v>43136.1</v>
      </c>
      <c r="F28" s="109">
        <v>43262.2</v>
      </c>
      <c r="G28" s="109">
        <v>53914.3</v>
      </c>
      <c r="H28" s="109">
        <v>47110.020000000004</v>
      </c>
      <c r="I28" s="109"/>
      <c r="J28" s="109"/>
      <c r="K28" s="109"/>
      <c r="L28" s="109"/>
      <c r="M28" s="109"/>
    </row>
    <row r="29" spans="3:13" ht="15">
      <c r="C29" s="177">
        <v>23</v>
      </c>
      <c r="D29" s="109">
        <v>42327.12</v>
      </c>
      <c r="E29" s="109">
        <v>42327.12</v>
      </c>
      <c r="F29" s="109">
        <v>42327.12</v>
      </c>
      <c r="G29" s="109">
        <v>42327.12</v>
      </c>
      <c r="H29" s="109">
        <v>42327.12</v>
      </c>
      <c r="I29" s="109">
        <v>42327.12</v>
      </c>
      <c r="J29" s="109">
        <v>42327.12</v>
      </c>
      <c r="K29" s="109">
        <v>42327.12</v>
      </c>
      <c r="L29" s="109">
        <v>42327.12</v>
      </c>
      <c r="M29" s="109">
        <v>42327.12</v>
      </c>
    </row>
    <row r="30" spans="3:13" ht="15">
      <c r="C30" s="177">
        <v>24</v>
      </c>
      <c r="D30" s="109">
        <v>21316</v>
      </c>
      <c r="E30" s="109">
        <v>24093</v>
      </c>
      <c r="F30" s="109">
        <v>28031</v>
      </c>
      <c r="G30" s="109">
        <v>33199</v>
      </c>
      <c r="H30" s="109">
        <v>39308</v>
      </c>
      <c r="I30" s="109">
        <v>46180</v>
      </c>
      <c r="J30" s="109">
        <v>54210</v>
      </c>
      <c r="K30" s="109"/>
      <c r="L30" s="109"/>
      <c r="M30" s="109"/>
    </row>
    <row r="31" spans="3:13" ht="15">
      <c r="C31" s="177">
        <v>25</v>
      </c>
      <c r="D31" s="110">
        <v>17485</v>
      </c>
      <c r="E31" s="110">
        <v>19370</v>
      </c>
      <c r="F31" s="110">
        <v>7358</v>
      </c>
      <c r="G31" s="110">
        <v>17485</v>
      </c>
      <c r="H31" s="110">
        <v>17485</v>
      </c>
      <c r="I31" s="110">
        <v>7358</v>
      </c>
      <c r="J31" s="110"/>
      <c r="K31" s="110"/>
      <c r="L31" s="110"/>
      <c r="M31" s="110"/>
    </row>
    <row r="32" spans="2:14" ht="15">
      <c r="B32" s="91"/>
      <c r="C32" s="63" t="s">
        <v>47</v>
      </c>
      <c r="D32" s="111">
        <f>SUM(D7:D31)</f>
        <v>916354.1333333333</v>
      </c>
      <c r="E32" s="111">
        <f>SUM(E7:E31)</f>
        <v>1030763.3173333334</v>
      </c>
      <c r="F32" s="111">
        <f aca="true" t="shared" si="0" ref="F32:M32">SUM(F7:F31)</f>
        <v>1098387.5557333333</v>
      </c>
      <c r="G32" s="111">
        <f t="shared" si="0"/>
        <v>1156668.8229333335</v>
      </c>
      <c r="H32" s="111">
        <f t="shared" si="0"/>
        <v>1200613.3728933334</v>
      </c>
      <c r="I32" s="111">
        <f t="shared" si="0"/>
        <v>953220.0217333332</v>
      </c>
      <c r="J32" s="111">
        <f t="shared" si="0"/>
        <v>597213.9647853334</v>
      </c>
      <c r="K32" s="111">
        <f t="shared" si="0"/>
        <v>418308.24999999994</v>
      </c>
      <c r="L32" s="111">
        <f t="shared" si="0"/>
        <v>432292.68999999994</v>
      </c>
      <c r="M32" s="111">
        <f t="shared" si="0"/>
        <v>438581.49999999994</v>
      </c>
      <c r="N32" s="11"/>
    </row>
    <row r="33" spans="2:14" ht="15">
      <c r="B33" s="91"/>
      <c r="C33" s="91"/>
      <c r="D33" s="91"/>
      <c r="E33" s="91"/>
      <c r="F33" s="91"/>
      <c r="G33" s="91"/>
      <c r="H33" s="91"/>
      <c r="I33" s="91"/>
      <c r="J33" s="91"/>
      <c r="K33" s="91"/>
      <c r="L33" s="91"/>
      <c r="M33" s="91"/>
      <c r="N33" s="11"/>
    </row>
    <row r="34" spans="2:13" ht="15">
      <c r="B34" s="92"/>
      <c r="C34" s="92"/>
      <c r="D34" s="107" t="s">
        <v>69</v>
      </c>
      <c r="E34" s="107" t="s">
        <v>70</v>
      </c>
      <c r="F34" s="107" t="s">
        <v>71</v>
      </c>
      <c r="G34" s="107" t="s">
        <v>72</v>
      </c>
      <c r="H34" s="107" t="s">
        <v>73</v>
      </c>
      <c r="I34" s="107" t="s">
        <v>74</v>
      </c>
      <c r="J34" s="107" t="s">
        <v>75</v>
      </c>
      <c r="K34" s="107" t="s">
        <v>76</v>
      </c>
      <c r="L34" s="107" t="s">
        <v>77</v>
      </c>
      <c r="M34" s="107" t="s">
        <v>78</v>
      </c>
    </row>
    <row r="35" spans="2:13" ht="15">
      <c r="B35" s="92"/>
      <c r="C35" s="112" t="s">
        <v>48</v>
      </c>
      <c r="D35" s="113">
        <f>D32-$D$42*$D$44*$D$45-$D$43*($D$44/3)*$D$45</f>
        <v>325218.1333333333</v>
      </c>
      <c r="E35" s="113">
        <f>E32-$D$42*$D$44*$D$45-$D$43*($D$44/3)*$D$45</f>
        <v>439627.3173333334</v>
      </c>
      <c r="F35" s="113">
        <f>F32-$D$42*$D$44*$D$45-$D$43*($D$44/3)*$D$45</f>
        <v>507251.55573333334</v>
      </c>
      <c r="G35" s="113">
        <f>G32-$D$42*$D$44*$D$45-$D$43*($D$44/3)*$D$45</f>
        <v>565532.8229333335</v>
      </c>
      <c r="H35" s="113">
        <f>H32-$D$42*$D$44*$D$45-$D$43*($D$44/3)*$D$45</f>
        <v>609477.3728933334</v>
      </c>
      <c r="I35" s="113">
        <f>I32-$D$42*$D$44*$D$45</f>
        <v>610332.0217333334</v>
      </c>
      <c r="J35" s="113">
        <f>J32-$D$42*$D$44*$D$45</f>
        <v>254325.96478533343</v>
      </c>
      <c r="K35" s="113">
        <f>K32-$D$42*$D$44*$D$45</f>
        <v>75420.25</v>
      </c>
      <c r="L35" s="113">
        <f>L32-$D$42*$D$44*$D$45</f>
        <v>89404.69</v>
      </c>
      <c r="M35" s="114">
        <f>M32-$D$42*$D$44*$D$45</f>
        <v>95693.5</v>
      </c>
    </row>
    <row r="36" spans="2:13" ht="15">
      <c r="B36" s="92"/>
      <c r="C36" s="92"/>
      <c r="D36" s="92"/>
      <c r="E36" s="92"/>
      <c r="F36" s="92"/>
      <c r="G36" s="92"/>
      <c r="H36" s="92"/>
      <c r="I36" s="92"/>
      <c r="J36" s="92"/>
      <c r="K36" s="92"/>
      <c r="L36" s="92"/>
      <c r="M36" s="92"/>
    </row>
    <row r="37" spans="2:13" ht="15">
      <c r="B37" s="92"/>
      <c r="C37" s="106" t="s">
        <v>86</v>
      </c>
      <c r="D37" s="92"/>
      <c r="E37" s="92"/>
      <c r="F37" s="92"/>
      <c r="G37" s="92"/>
      <c r="H37" s="92"/>
      <c r="I37" s="92"/>
      <c r="J37" s="92"/>
      <c r="K37" s="92"/>
      <c r="L37" s="92"/>
      <c r="M37" s="92"/>
    </row>
    <row r="38" spans="2:13" ht="15">
      <c r="B38" s="92"/>
      <c r="C38" s="92"/>
      <c r="D38" s="92"/>
      <c r="E38" s="92"/>
      <c r="F38" s="92"/>
      <c r="G38" s="92"/>
      <c r="H38" s="92"/>
      <c r="I38" s="92"/>
      <c r="J38" s="92"/>
      <c r="K38" s="92"/>
      <c r="L38" s="92"/>
      <c r="M38" s="92"/>
    </row>
    <row r="39" spans="2:13" ht="15">
      <c r="B39" s="92"/>
      <c r="C39" s="92"/>
      <c r="D39" s="92"/>
      <c r="E39" s="92"/>
      <c r="F39" s="92"/>
      <c r="G39" s="92"/>
      <c r="H39" s="92"/>
      <c r="I39" s="92"/>
      <c r="J39" s="92"/>
      <c r="K39" s="92"/>
      <c r="L39" s="92"/>
      <c r="M39" s="92"/>
    </row>
    <row r="40" spans="2:13" ht="15">
      <c r="B40" s="92"/>
      <c r="C40" s="92"/>
      <c r="D40" s="92"/>
      <c r="E40" s="92"/>
      <c r="F40" s="92"/>
      <c r="G40" s="92"/>
      <c r="H40" s="92"/>
      <c r="I40" s="92"/>
      <c r="J40" s="92"/>
      <c r="K40" s="92"/>
      <c r="L40" s="92"/>
      <c r="M40" s="92"/>
    </row>
    <row r="41" spans="2:13" ht="15">
      <c r="B41" s="92"/>
      <c r="C41" s="115" t="s">
        <v>50</v>
      </c>
      <c r="D41" s="115" t="s">
        <v>49</v>
      </c>
      <c r="E41" s="115" t="s">
        <v>51</v>
      </c>
      <c r="F41" s="92"/>
      <c r="G41" s="92"/>
      <c r="H41" s="92"/>
      <c r="I41" s="92"/>
      <c r="J41" s="92"/>
      <c r="K41" s="92"/>
      <c r="L41" s="92"/>
      <c r="M41" s="92"/>
    </row>
    <row r="42" spans="2:13" ht="15">
      <c r="B42" s="92"/>
      <c r="C42" s="92" t="s">
        <v>52</v>
      </c>
      <c r="D42" s="92">
        <v>314</v>
      </c>
      <c r="E42" s="106" t="s">
        <v>89</v>
      </c>
      <c r="F42" s="92"/>
      <c r="G42" s="92"/>
      <c r="H42" s="92"/>
      <c r="I42" s="92"/>
      <c r="J42" s="92"/>
      <c r="K42" s="92"/>
      <c r="L42" s="92"/>
      <c r="M42" s="92"/>
    </row>
    <row r="43" spans="2:13" ht="15">
      <c r="B43" s="92"/>
      <c r="C43" s="92" t="s">
        <v>53</v>
      </c>
      <c r="D43" s="92">
        <v>682</v>
      </c>
      <c r="E43" s="106" t="s">
        <v>89</v>
      </c>
      <c r="F43" s="92"/>
      <c r="G43" s="92"/>
      <c r="H43" s="92"/>
      <c r="I43" s="92"/>
      <c r="J43" s="92"/>
      <c r="K43" s="92"/>
      <c r="L43" s="92"/>
      <c r="M43" s="92"/>
    </row>
    <row r="44" spans="2:13" ht="15">
      <c r="B44" s="92"/>
      <c r="C44" s="92" t="s">
        <v>87</v>
      </c>
      <c r="D44" s="92">
        <v>260</v>
      </c>
      <c r="E44" s="92"/>
      <c r="F44" s="92"/>
      <c r="G44" s="92"/>
      <c r="H44" s="92"/>
      <c r="I44" s="92"/>
      <c r="J44" s="92"/>
      <c r="K44" s="92"/>
      <c r="L44" s="92"/>
      <c r="M44" s="92"/>
    </row>
    <row r="45" spans="2:13" ht="15">
      <c r="B45" s="92"/>
      <c r="C45" s="92" t="s">
        <v>91</v>
      </c>
      <c r="D45" s="116">
        <f>90/((5/7)*30)</f>
        <v>4.199999999999999</v>
      </c>
      <c r="E45" s="92"/>
      <c r="F45" s="92"/>
      <c r="G45" s="92"/>
      <c r="H45" s="92"/>
      <c r="I45" s="92"/>
      <c r="J45" s="92"/>
      <c r="K45" s="92"/>
      <c r="L45" s="92"/>
      <c r="M45" s="92"/>
    </row>
    <row r="49" spans="3:12" ht="15" customHeight="1">
      <c r="C49" s="204" t="s">
        <v>88</v>
      </c>
      <c r="D49" s="204"/>
      <c r="E49" s="204"/>
      <c r="F49" s="204"/>
      <c r="G49" s="204"/>
      <c r="H49" s="204"/>
      <c r="I49" s="204"/>
      <c r="J49" s="204"/>
      <c r="K49" s="204"/>
      <c r="L49" s="204"/>
    </row>
    <row r="50" spans="3:12" ht="15">
      <c r="C50" s="204"/>
      <c r="D50" s="204"/>
      <c r="E50" s="204"/>
      <c r="F50" s="204"/>
      <c r="G50" s="204"/>
      <c r="H50" s="204"/>
      <c r="I50" s="204"/>
      <c r="J50" s="204"/>
      <c r="K50" s="204"/>
      <c r="L50" s="204"/>
    </row>
    <row r="51" ht="15">
      <c r="C51" s="106" t="s">
        <v>90</v>
      </c>
    </row>
  </sheetData>
  <sheetProtection/>
  <mergeCells count="1">
    <mergeCell ref="C49:L5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 Salvador's Finance and Investment Support Project</dc:title>
  <dc:subject/>
  <dc:creator>Millennium Challenge Corporation</dc:creator>
  <cp:keywords/>
  <dc:description/>
  <cp:lastModifiedBy>Block, Marissa L (DPE/EE-EA/PSC)</cp:lastModifiedBy>
  <dcterms:created xsi:type="dcterms:W3CDTF">2012-03-15T16:07:22Z</dcterms:created>
  <dcterms:modified xsi:type="dcterms:W3CDTF">2015-03-27T15:01:01Z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