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9960" tabRatio="813" activeTab="0"/>
  </bookViews>
  <sheets>
    <sheet name="User's Guide" sheetId="1" r:id="rId1"/>
    <sheet name="Project Description" sheetId="2" r:id="rId2"/>
    <sheet name="ERR &amp; Sensitivity Analysis" sheetId="3" r:id="rId3"/>
    <sheet name="Aggregate Cost-Benefit Summary" sheetId="4" r:id="rId4"/>
    <sheet name="Combined-Prob Distributions" sheetId="5" r:id="rId5"/>
    <sheet name="Indicators" sheetId="6" r:id="rId6"/>
    <sheet name="AnalysisSVic" sheetId="7" r:id="rId7"/>
    <sheet name="SVicData" sheetId="8" r:id="rId8"/>
    <sheet name="AnalysisSal" sheetId="9" r:id="rId9"/>
    <sheet name="SalData" sheetId="10" r:id="rId10"/>
    <sheet name="AnalysisBV" sheetId="11" r:id="rId11"/>
    <sheet name="BoaVistaData" sheetId="12" r:id="rId12"/>
    <sheet name="CB_DATA_" sheetId="13" state="veryHidden" r:id="rId13"/>
    <sheet name="Parameters" sheetId="14" r:id="rId14"/>
    <sheet name="BA_Data" sheetId="15" r:id="rId15"/>
    <sheet name="BA_Data_Simulation" sheetId="16" r:id="rId16"/>
    <sheet name="Poverty Scorecard" sheetId="17" r:id="rId17"/>
  </sheets>
  <externalReferences>
    <externalReference r:id="rId20"/>
    <externalReference r:id="rId21"/>
    <externalReference r:id="rId22"/>
    <externalReference r:id="rId23"/>
    <externalReference r:id="rId24"/>
    <externalReference r:id="rId25"/>
    <externalReference r:id="rId26"/>
  </externalReferences>
  <definedNames>
    <definedName name="ACRPW">'[1]Parameters'!$E$57</definedName>
    <definedName name="ACRPWo">'[1]Parameters'!$D$57</definedName>
    <definedName name="Average_area_per_bed_ha">'Parameters'!$C$28</definedName>
    <definedName name="avoidedLoss">'[2]OnFarm'!$B$7</definedName>
    <definedName name="BVOccupancy">'Parameters'!$C$26</definedName>
    <definedName name="BVProjInvest">'Parameters'!$C$40</definedName>
    <definedName name="BVTourHotelGrowth">'Parameters'!$C$9</definedName>
    <definedName name="CB_17033827c01742c2b622309fa7f8d118" localSheetId="13" hidden="1">'Parameters'!$C$47</definedName>
    <definedName name="CB_1a26bd5dccc24da399e1ef642684b91f" localSheetId="2" hidden="1">'ERR &amp; Sensitivity Analysis'!#REF!</definedName>
    <definedName name="CB_21fd3b4c09dc428caa99db7ab391bb16" localSheetId="2" hidden="1">'ERR &amp; Sensitivity Analysis'!#REF!</definedName>
    <definedName name="CB_22e0c64102724fb084a2fa10d0d3c6a8" localSheetId="13" hidden="1">'Parameters'!$D$17</definedName>
    <definedName name="CB_23f4008b5de648f1aae6d7e5f23c1ef3" localSheetId="14" hidden="1">'BA_Data'!$C$23</definedName>
    <definedName name="CB_2a0bf23583774867ac0c881c697e8937" localSheetId="13" hidden="1">'Parameters'!$C$46</definedName>
    <definedName name="CB_3088003835e14a7dbce2f710d7f13f83" localSheetId="14" hidden="1">'BA_Data'!$C$22</definedName>
    <definedName name="CB_37204cee462b4e59854663b6b5295b1e" localSheetId="14" hidden="1">'BA_Data'!$C$71</definedName>
    <definedName name="CB_3be900a1508f4eafabf8087956dd6fde" localSheetId="2" hidden="1">'ERR &amp; Sensitivity Analysis'!#REF!</definedName>
    <definedName name="CB_42be08d90dcf4bee81dd6971db6c1345" localSheetId="14" hidden="1">'BA_Data'!$D$26</definedName>
    <definedName name="CB_4b4badc00daf4dffaffdf3d63cae0a39" localSheetId="14" hidden="1">'BA_Data'!$C$21</definedName>
    <definedName name="CB_58b49a01b9aa42918d574c45a1f72888" localSheetId="14" hidden="1">'BA_Data'!$C$74</definedName>
    <definedName name="CB_62fea961c18f4a0c92b0a57cfe750e79" localSheetId="13" hidden="1">'Parameters'!$D$13</definedName>
    <definedName name="CB_664edf0726c54cf798d2f598eb58e58a" localSheetId="13" hidden="1">'Parameters'!$C$29</definedName>
    <definedName name="CB_73a8a756daf4442cb278aaa3e645b4a7" localSheetId="13" hidden="1">'Parameters'!$C$33</definedName>
    <definedName name="CB_7764654e7eab4a0da108ea25af975f87" localSheetId="13" hidden="1">'Parameters'!$D$16</definedName>
    <definedName name="CB_77adbc97d2d84e87b6bd2b0647034066" localSheetId="2" hidden="1">'ERR &amp; Sensitivity Analysis'!#REF!</definedName>
    <definedName name="CB_81a46183bc2444daa8fbb1c567fde843" localSheetId="2" hidden="1">'ERR &amp; Sensitivity Analysis'!$D$22</definedName>
    <definedName name="CB_8785ec4c8948441d944c0397cdab7622" localSheetId="14" hidden="1">'BA_Data'!$C$27</definedName>
    <definedName name="CB_8b2f52d298fe4b58a25f48db56be7df6" localSheetId="12" hidden="1">#N/A</definedName>
    <definedName name="CB_934f8d776d854cca8fc227b49042997f" localSheetId="14" hidden="1">'BA_Data'!$C$53</definedName>
    <definedName name="CB_9c6812602bbe40c7be480dcb6937e4f4" localSheetId="14" hidden="1">'BA_Data'!$C$72</definedName>
    <definedName name="CB_9eade3f4c4b04010969d3b10502da683" localSheetId="13" hidden="1">'Parameters'!$D$15</definedName>
    <definedName name="CB_a2c4ab45456e4d6b872289d56c7c72e7" localSheetId="13" hidden="1">'Parameters'!$C$48</definedName>
    <definedName name="CB_abe746aadee348398c5185fc6c82ca69" localSheetId="14" hidden="1">'BA_Data'!$C$20</definedName>
    <definedName name="CB_afb978c092b94723a2f0b26dd485e7de" localSheetId="13" hidden="1">'Parameters'!$C$45</definedName>
    <definedName name="CB_b3673fe2202a4f27bdefb1eb1322aea4" localSheetId="14" hidden="1">'BA_Data'!$C$73</definedName>
    <definedName name="CB_b8827ea14e17476d8c28fdadccc76bf3" localSheetId="2" hidden="1">'ERR &amp; Sensitivity Analysis'!#REF!</definedName>
    <definedName name="CB_ba31a92e1f374d4c9b0a51d04057fd09" localSheetId="13" hidden="1">'Parameters'!$C$35</definedName>
    <definedName name="CB_Block_00000000000000000000000000000000" localSheetId="3" hidden="1">"'7.0.0.0"</definedName>
    <definedName name="CB_Block_00000000000000000000000000000000" localSheetId="10" hidden="1">"'7.0.0.0"</definedName>
    <definedName name="CB_Block_00000000000000000000000000000000" localSheetId="8" hidden="1">"'7.0.0.0"</definedName>
    <definedName name="CB_Block_00000000000000000000000000000000" localSheetId="6" hidden="1">"'7.0.0.0"</definedName>
    <definedName name="CB_Block_00000000000000000000000000000000" localSheetId="14" hidden="1">"'7.0.0.0"</definedName>
    <definedName name="CB_Block_00000000000000000000000000000000" localSheetId="12" hidden="1">"'7.0.0.0"</definedName>
    <definedName name="CB_Block_00000000000000000000000000000000" localSheetId="13" hidden="1">"'7.0.0.0"</definedName>
    <definedName name="CB_Block_00000000000000000000000000000001" localSheetId="3" hidden="1">"'635387051071316144"</definedName>
    <definedName name="CB_Block_00000000000000000000000000000001" localSheetId="10" hidden="1">"'634523085950362006"</definedName>
    <definedName name="CB_Block_00000000000000000000000000000001" localSheetId="8" hidden="1">"'634523085809265547"</definedName>
    <definedName name="CB_Block_00000000000000000000000000000001" localSheetId="6" hidden="1">"'634523085950362006"</definedName>
    <definedName name="CB_Block_00000000000000000000000000000001" localSheetId="14" hidden="1">"'635387051071226135"</definedName>
    <definedName name="CB_Block_00000000000000000000000000000001" localSheetId="12" hidden="1">"'635387051071356148"</definedName>
    <definedName name="CB_Block_00000000000000000000000000000001" localSheetId="13" hidden="1">"'635387051071506163"</definedName>
    <definedName name="CB_Block_00000000000000000000000000000003" localSheetId="3" hidden="1">"'11.1.1448.0"</definedName>
    <definedName name="CB_Block_00000000000000000000000000000003" localSheetId="10" hidden="1">"'11.1.1448.0"</definedName>
    <definedName name="CB_Block_00000000000000000000000000000003" localSheetId="8" hidden="1">"'11.1.1448.0"</definedName>
    <definedName name="CB_Block_00000000000000000000000000000003" localSheetId="6" hidden="1">"'11.1.1448.0"</definedName>
    <definedName name="CB_Block_00000000000000000000000000000003" localSheetId="14" hidden="1">"'11.1.1448.0"</definedName>
    <definedName name="CB_Block_00000000000000000000000000000003" localSheetId="12" hidden="1">"'11.1.1448.0"</definedName>
    <definedName name="CB_Block_00000000000000000000000000000003" localSheetId="13" hidden="1">"'11.1.1448.0"</definedName>
    <definedName name="CB_BlockExt_00000000000000000000000000000003" localSheetId="3" hidden="1">"'11.1.2.0.00"</definedName>
    <definedName name="CB_BlockExt_00000000000000000000000000000003" localSheetId="10" hidden="1">"'11.1.2.0.00"</definedName>
    <definedName name="CB_BlockExt_00000000000000000000000000000003" localSheetId="8" hidden="1">"'11.1.2.0.00"</definedName>
    <definedName name="CB_BlockExt_00000000000000000000000000000003" localSheetId="6" hidden="1">"'11.1.2.0.00"</definedName>
    <definedName name="CB_BlockExt_00000000000000000000000000000003" localSheetId="14" hidden="1">"'11.1.2.0.00"</definedName>
    <definedName name="CB_BlockExt_00000000000000000000000000000003" localSheetId="12" hidden="1">"'11.1.2.0.00"</definedName>
    <definedName name="CB_BlockExt_00000000000000000000000000000003" localSheetId="13" hidden="1">"'11.1.2.0.00"</definedName>
    <definedName name="CB_c365984aa3994d09bc9adf42eaf328c2" localSheetId="3" hidden="1">'Aggregate Cost-Benefit Summary'!$C$39</definedName>
    <definedName name="CB_c65f642d793e430ba83ede272eca34d9" localSheetId="14" hidden="1">'BA_Data'!$C$70</definedName>
    <definedName name="CB_cddd29dd3669483abcd8be7eabd016a1" localSheetId="2" hidden="1">'ERR &amp; Sensitivity Analysis'!#REF!</definedName>
    <definedName name="CB_cf4eac914a9e45168ed3d8851c34f7a1" localSheetId="13" hidden="1">'Parameters'!$C$32</definedName>
    <definedName name="CB_d3a6ebd7eec34980bcd779d2071f9ba2" localSheetId="14" hidden="1">'BA_Data'!$C$48</definedName>
    <definedName name="CB_e6146176cd9242b18f488b562c00cfda" localSheetId="13" hidden="1">'Parameters'!$D$14</definedName>
    <definedName name="CB_e8f3eaad5a4246119f6fa0f1ab9ffe1f" localSheetId="14" hidden="1">'BA_Data'!$C$24</definedName>
    <definedName name="CB_f2b82bfad01f48a3b3fd31d5754d0668" localSheetId="14" hidden="1">'BA_Data'!$C$49</definedName>
    <definedName name="CB_fa97f5e1cc0041ac8772a0046d63391f" localSheetId="14" hidden="1">'BA_Data'!$C$26</definedName>
    <definedName name="CBCR_6d6da4b106834a0c9191312e4e6116f3" localSheetId="2" hidden="1">'ERR &amp; Sensitivity Analysis'!#REF!</definedName>
    <definedName name="CBCR_d1bcd07f7c554f208b61d3a29177b005" localSheetId="2" hidden="1">'ERR &amp; Sensitivity Analysis'!#REF!</definedName>
    <definedName name="CBCR_da08fbc3e22d446b90bd2323a4dfc960" localSheetId="2" hidden="1">'ERR &amp; Sensitivity Analysis'!#REF!</definedName>
    <definedName name="CBCR_e136113f8aa04dc8abe85bb4c5cad7a2" localSheetId="2" hidden="1">'ERR &amp; Sensitivity Analysis'!#REF!</definedName>
    <definedName name="CBWorkbookPriority" localSheetId="12" hidden="1">-1300238788</definedName>
    <definedName name="CBWorkbookPriority" hidden="1">-456694519</definedName>
    <definedName name="CBx_0e8f45d34c284349a8508baab1c43fe0" localSheetId="12" hidden="1">"'Aggregate Cost-Benefit Summary'!$A$1"</definedName>
    <definedName name="CBx_23fdd72d7c8c469494917eef655acdea" localSheetId="12" hidden="1">"'AnalysisBV'!$A$1"</definedName>
    <definedName name="CBx_33a43263e7b645be97a5814183680f3c" localSheetId="12" hidden="1">"'Parameters'!$A$1"</definedName>
    <definedName name="CBx_6cda80adac1c439b9d49a1283dcf02b0" localSheetId="12" hidden="1">"'CB_DATA_'!$A$1"</definedName>
    <definedName name="CBx_bbd60fe68eaa412c8aa7ead892141d6a" localSheetId="12" hidden="1">"'BA_Data'!$A$1"</definedName>
    <definedName name="CBx_cbed77c131804911be976964b9366e5d" localSheetId="12" hidden="1">"'AnalysisSal'!$A$1"</definedName>
    <definedName name="CBx_Sheet_Guid" localSheetId="3" hidden="1">"'0e8f45d3-4c28-4349-a850-8baab1c43fe0"</definedName>
    <definedName name="CBx_Sheet_Guid" localSheetId="10" hidden="1">"'23fdd72d-7c8c-4694-9491-7eef655acdea"</definedName>
    <definedName name="CBx_Sheet_Guid" localSheetId="8" hidden="1">"'cbed77c1-3180-4911-be97-6964b9366e5d"</definedName>
    <definedName name="CBx_Sheet_Guid" localSheetId="6" hidden="1">"'23fdd72d-7c8c-4694-9491-7eef655acdea"</definedName>
    <definedName name="CBx_Sheet_Guid" localSheetId="14" hidden="1">"'bbd60fe6-8eaa-412c-8aa7-ead892141d6a"</definedName>
    <definedName name="CBx_Sheet_Guid" localSheetId="12" hidden="1">"'6cda80ad-ac1c-439b-9d49-a1283dcf02b0"</definedName>
    <definedName name="CBx_Sheet_Guid" localSheetId="2" hidden="1">"'7a9953af-a798-44e8-ae4e-7480b723f921"</definedName>
    <definedName name="CBx_Sheet_Guid" localSheetId="13" hidden="1">"'33a43263-e7b6-45be-97a5-814183680f3c"</definedName>
    <definedName name="CBx_SheetRef" localSheetId="3" hidden="1">'CB_DATA_'!$G$14</definedName>
    <definedName name="CBx_SheetRef" localSheetId="10" hidden="1">'CB_DATA_'!$D$14</definedName>
    <definedName name="CBx_SheetRef" localSheetId="8" hidden="1">'CB_DATA_'!$C$14</definedName>
    <definedName name="CBx_SheetRef" localSheetId="6" hidden="1">'CB_DATA_'!$D$14</definedName>
    <definedName name="CBx_SheetRef" localSheetId="14" hidden="1">'CB_DATA_'!$F$14</definedName>
    <definedName name="CBx_SheetRef" localSheetId="12" hidden="1">'CB_DATA_'!$A$14</definedName>
    <definedName name="CBx_SheetRef" localSheetId="13" hidden="1">'CB_DATA_'!$B$14</definedName>
    <definedName name="CBx_StorageType" localSheetId="3" hidden="1">2</definedName>
    <definedName name="CBx_StorageType" localSheetId="10" hidden="1">2</definedName>
    <definedName name="CBx_StorageType" localSheetId="8" hidden="1">2</definedName>
    <definedName name="CBx_StorageType" localSheetId="6" hidden="1">2</definedName>
    <definedName name="CBx_StorageType" localSheetId="14" hidden="1">2</definedName>
    <definedName name="CBx_StorageType" localSheetId="12" hidden="1">2</definedName>
    <definedName name="CBx_StorageType" localSheetId="2" hidden="1">1</definedName>
    <definedName name="CBx_StorageType" localSheetId="13" hidden="1">2</definedName>
    <definedName name="changebene">#REF!</definedName>
    <definedName name="changecosts">#REF!</definedName>
    <definedName name="changeinv">#REF!</definedName>
    <definedName name="Class1_wo_expt">#REF!</definedName>
    <definedName name="Class2_wo_expt">#REF!</definedName>
    <definedName name="Class3_wo_expt">#REF!</definedName>
    <definedName name="CommerLossW">'[1]Parameters'!$E$51</definedName>
    <definedName name="CommerLossWo">'[1]Parameters'!$D$51</definedName>
    <definedName name="ConstructC">'Parameters'!$C$31</definedName>
    <definedName name="ConstructVA">'Parameters'!$C$32</definedName>
    <definedName name="Corridor">'[3]Benefits'!$C$13</definedName>
    <definedName name="death_rate_stage_III_T">'[4]Diabetes Costs &amp; Benefits'!$C$26</definedName>
    <definedName name="death_rate_stage_III_UT">'[4]Diabetes Costs &amp; Benefits'!$C$25</definedName>
    <definedName name="death_rate_stage_IV_T">'[4]Hypertension Costs &amp; Benefits'!$C$28</definedName>
    <definedName name="death_rate_stage_IV_UT">'[4]Hypertension Costs &amp; Benefits'!$C$27</definedName>
    <definedName name="elasticity">'[3]Benefits'!$C$12</definedName>
    <definedName name="EmpAirfareVA">'Parameters'!$C$57</definedName>
    <definedName name="EmpConstructVA">'Parameters'!$C$56</definedName>
    <definedName name="EmpDiscrVA">'Parameters'!$C$55</definedName>
    <definedName name="EmpLondgingVA">'Parameters'!$C$53</definedName>
    <definedName name="EmpTransVA">'Parameters'!$C$54</definedName>
    <definedName name="EU_import_growth">'[2]CoolChain'!$B$10</definedName>
    <definedName name="EU_share">'[2]CoolChain'!$B$15</definedName>
    <definedName name="exrate" localSheetId="14">'[1]Parameters'!$D$26</definedName>
    <definedName name="exrate">'Parameters'!$C$23</definedName>
    <definedName name="farm_density">'[3]Benefits'!$C$15</definedName>
    <definedName name="FBO_outgrowers">'[2]CoolChain'!$B$18</definedName>
    <definedName name="GDP_cap_growth">'[1]Parameters'!$D$13</definedName>
    <definedName name="GDP_growth">'[1]Parameters'!$D$16</definedName>
    <definedName name="GM_param">'[3]Benefits'!#REF!</definedName>
    <definedName name="Growth_Rate">'[3]Benefits'!$C$14</definedName>
    <definedName name="hhsize">'Parameters'!$C$51</definedName>
    <definedName name="I_to_II_T_W">'[4]Hypertension Costs &amp; Benefits'!$J$82</definedName>
    <definedName name="I_to_II_T_WO">'[4]Hypertension Costs &amp; Benefits'!$J$32</definedName>
    <definedName name="I_to_II_UT">'[4]Hypertension Costs &amp; Benefits'!$E$32</definedName>
    <definedName name="II_t0_III_T_WO">'[4]Hypertension Costs &amp; Benefits'!$J$33</definedName>
    <definedName name="II_t0_III_UT">'[4]Hypertension Costs &amp; Benefits'!$E$33</definedName>
    <definedName name="II_to_III_T_W">'[4]Hypertension Costs &amp; Benefits'!$J$83</definedName>
    <definedName name="II_to_III_UT">'[4]Diabetes Costs &amp; Benefits'!$E$31</definedName>
    <definedName name="III_to_IV_T_W">'[4]Hypertension Costs &amp; Benefits'!$J$84</definedName>
    <definedName name="III_to_IV_T_WO">'[4]Hypertension Costs &amp; Benefits'!$J$34</definedName>
    <definedName name="III_to_IV_UT">'[4]Hypertension Costs &amp; Benefits'!$E$34</definedName>
    <definedName name="improved_outgrower_prod_ha">'[2]CoolChain'!$B$17</definedName>
    <definedName name="income_p">'[4]Hypertension Costs &amp; Benefits'!$E$6</definedName>
    <definedName name="incrnetchange">#REF!</definedName>
    <definedName name="incrswitch">#REF!</definedName>
    <definedName name="local_investment">'Parameters'!$C$33</definedName>
    <definedName name="long_GDP_cap_growth">'[1]Parameters'!$D$14</definedName>
    <definedName name="Long_GDP_growth">'[1]Parameters'!$D$17</definedName>
    <definedName name="major_works_impact">'[3]Benefits'!$C$11</definedName>
    <definedName name="minor_works_impact">'[3]Benefits'!$C$10</definedName>
    <definedName name="mosalary">'Parameters'!$C$52</definedName>
    <definedName name="NetlpdWo">'[1]Parameters'!$D$32</definedName>
    <definedName name="nucleus_growth">'[2]CoolChain'!$B$14</definedName>
    <definedName name="nucleus_prod">'[2]CoolChain'!$C$25</definedName>
    <definedName name="outgrower_growth">'[5]Sheet1'!$C$15</definedName>
    <definedName name="outgrower_prod_ha">'[2]CoolChain'!$C$26</definedName>
    <definedName name="participant_to_beneficiary_conversion">'[6]Assumption &amp; Data'!$B$46</definedName>
    <definedName name="PeriodicMain">'[3]Costs'!$C$9</definedName>
    <definedName name="PhysLossW">'[1]Parameters'!$E$52</definedName>
    <definedName name="PhysLossWo">'[1]Parameters'!$D$52</definedName>
    <definedName name="pop_growth">'[4]Hypertension Costs &amp; Benefits'!$C$5</definedName>
    <definedName name="PopGrowth">'[1]Parameters'!$D$6</definedName>
    <definedName name="PopStart">'[1]Parameters'!$D$5</definedName>
    <definedName name="_xlnm.Print_Area" localSheetId="2">'ERR &amp; Sensitivity Analysis'!$A$1:$I$80</definedName>
    <definedName name="Prodw">'[1]Parameters'!$E$30</definedName>
    <definedName name="Prodwo">'[1]Parameters'!$D$30</definedName>
    <definedName name="RegTimeReduced">'Parameters'!$C$35</definedName>
    <definedName name="RoutineMain">'[3]Costs'!$C$8</definedName>
    <definedName name="SalOccupancy">'Parameters'!$C$25</definedName>
    <definedName name="SalProjInvest">'Parameters'!$C$38</definedName>
    <definedName name="SalTourHotelGrowth">'Parameters'!$C$8</definedName>
    <definedName name="SalTourVA">'Parameters'!$C$22</definedName>
    <definedName name="SewerConnectWo">'[1]Parameters'!$D$40</definedName>
    <definedName name="SVicOccupancy">'Parameters'!$C$27</definedName>
    <definedName name="SVicProjInvest">'Parameters'!$C$42</definedName>
    <definedName name="SVicTourHotelGrowth">'Parameters'!$C$11</definedName>
    <definedName name="TariffW">'[1]Parameters'!$E$29</definedName>
    <definedName name="TariffWo">'[1]Parameters'!$D$29</definedName>
    <definedName name="Taxes">'Parameters'!$F$13</definedName>
    <definedName name="TourGrowthLong">'Parameters'!$C$10</definedName>
    <definedName name="WatConnectCostW">'[1]Parameters'!$E$33</definedName>
    <definedName name="WatConnectCostWo">'[1]Parameters'!$D$33</definedName>
    <definedName name="Workflow">'[7]Analysis'!$B$13</definedName>
  </definedNames>
  <calcPr fullCalcOnLoad="1"/>
</workbook>
</file>

<file path=xl/comments10.xml><?xml version="1.0" encoding="utf-8"?>
<comments xmlns="http://schemas.openxmlformats.org/spreadsheetml/2006/main">
  <authors>
    <author>Montanus Nauta</author>
  </authors>
  <commentList>
    <comment ref="F21" authorId="0">
      <text>
        <r>
          <rPr>
            <b/>
            <sz val="9"/>
            <rFont val="Tahoma"/>
            <family val="2"/>
          </rPr>
          <t>Montanus Nauta:</t>
        </r>
        <r>
          <rPr>
            <sz val="9"/>
            <rFont val="Tahoma"/>
            <family val="2"/>
          </rPr>
          <t xml:space="preserve">
problem with data?
</t>
        </r>
      </text>
    </comment>
  </commentList>
</comments>
</file>

<file path=xl/sharedStrings.xml><?xml version="1.0" encoding="utf-8"?>
<sst xmlns="http://schemas.openxmlformats.org/spreadsheetml/2006/main" count="1191" uniqueCount="444">
  <si>
    <t>Tipo de Estabelecimento</t>
  </si>
  <si>
    <t>Hotéis</t>
  </si>
  <si>
    <t>Hotéis-apartamentos</t>
  </si>
  <si>
    <t>Pensões</t>
  </si>
  <si>
    <t>Pousadas</t>
  </si>
  <si>
    <t>Aldeamentos Turísticos</t>
  </si>
  <si>
    <t>Residenciais</t>
  </si>
  <si>
    <t>Total</t>
  </si>
  <si>
    <t xml:space="preserve">Nº   </t>
  </si>
  <si>
    <t xml:space="preserve">Nº     </t>
  </si>
  <si>
    <t xml:space="preserve">Nº    </t>
  </si>
  <si>
    <t xml:space="preserve">Nº  </t>
  </si>
  <si>
    <t>Sal</t>
  </si>
  <si>
    <t>Available Beds</t>
  </si>
  <si>
    <t>min</t>
  </si>
  <si>
    <t>max</t>
  </si>
  <si>
    <t xml:space="preserve">Consider the following breakdown of shares.  </t>
  </si>
  <si>
    <t>Growth</t>
  </si>
  <si>
    <t>Capacity (beds)</t>
  </si>
  <si>
    <t>Cape Verde</t>
  </si>
  <si>
    <t>Analysis of Land Registration Investment on Sal</t>
  </si>
  <si>
    <t>Value added per bed-night (CVE)</t>
  </si>
  <si>
    <t>Value added per bed-night (Euro)</t>
  </si>
  <si>
    <t>2011 Values</t>
  </si>
  <si>
    <t>CVE/Euro exchange rate</t>
  </si>
  <si>
    <t>medium term</t>
  </si>
  <si>
    <t>Tourism  Value Added (CVE million)</t>
  </si>
  <si>
    <t>Bed-nights</t>
  </si>
  <si>
    <t>Year</t>
  </si>
  <si>
    <t>Without Project</t>
  </si>
  <si>
    <t>With Project</t>
  </si>
  <si>
    <t>Land registration reform becomes effective</t>
  </si>
  <si>
    <t>Increment</t>
  </si>
  <si>
    <t>Incremental Benefit (CVE million)</t>
  </si>
  <si>
    <t xml:space="preserve">CVE/dollar exchange rate </t>
  </si>
  <si>
    <t>Incremental Benefit (USD million)</t>
  </si>
  <si>
    <t>Costs (CVE million)</t>
  </si>
  <si>
    <t xml:space="preserve">Recurrent Costs </t>
  </si>
  <si>
    <t>Incremental Net Benefits (CVE million)</t>
  </si>
  <si>
    <t>ERR</t>
  </si>
  <si>
    <t>Tourism  Value Added (USD million)</t>
  </si>
  <si>
    <t>Accommodation development cost (CVE million/ha)</t>
  </si>
  <si>
    <t>Property development without</t>
  </si>
  <si>
    <t>Property development with</t>
  </si>
  <si>
    <t>Incremental development costs</t>
  </si>
  <si>
    <t>Property development value added (CVE million)</t>
  </si>
  <si>
    <t>Property development value added (USD million)</t>
  </si>
  <si>
    <t>Total value added (CVE million)</t>
  </si>
  <si>
    <t>Total value added (USD million)</t>
  </si>
  <si>
    <t>% development cost as income to Cape Verde</t>
  </si>
  <si>
    <t>Tourism  value Added (CVE million)</t>
  </si>
  <si>
    <t>Tourism  value Added (USD million)</t>
  </si>
  <si>
    <t>Incremental tourism value added (CVE million)</t>
  </si>
  <si>
    <t>Incremental tourism value added (USD million)</t>
  </si>
  <si>
    <t>% local investment</t>
  </si>
  <si>
    <t>Value added per bed-night (USD)</t>
  </si>
  <si>
    <t xml:space="preserve">  Taxes </t>
  </si>
  <si>
    <t>Value Added Elements (euros per 7 nights)</t>
  </si>
  <si>
    <t xml:space="preserve">  Airfare </t>
  </si>
  <si>
    <t>Expenditure</t>
  </si>
  <si>
    <t>Net Value Added</t>
  </si>
  <si>
    <t xml:space="preserve">  Internal Transport</t>
  </si>
  <si>
    <t xml:space="preserve">  Lodging</t>
  </si>
  <si>
    <t xml:space="preserve">  Other Discretionary</t>
  </si>
  <si>
    <t>Accommodation development cost (CVE/m2)</t>
  </si>
  <si>
    <t>Average area per bed (ha)</t>
  </si>
  <si>
    <t xml:space="preserve">Based on observations in Santa Maria </t>
  </si>
  <si>
    <t>range (0.01-0.08)</t>
  </si>
  <si>
    <t>Built-up area (ha)</t>
  </si>
  <si>
    <t>Developed area per bed (ha)</t>
  </si>
  <si>
    <t>Incremental area developed (ha)</t>
  </si>
  <si>
    <t>% VA</t>
  </si>
  <si>
    <t>sum</t>
  </si>
  <si>
    <t>Based on site visit to Villa Verde</t>
  </si>
  <si>
    <t>year</t>
  </si>
  <si>
    <t>Analysis of Proposed Land Registration Investment on Sal</t>
  </si>
  <si>
    <t>Incremental employment (persons)</t>
  </si>
  <si>
    <t>Development of additional employment without</t>
  </si>
  <si>
    <t>Total employed without</t>
  </si>
  <si>
    <t>Total used ZTDI area (ha)</t>
  </si>
  <si>
    <t>Butilt-up area as % of used ZTDI area (ha)</t>
  </si>
  <si>
    <t>Total ZTDI area (ha)</t>
  </si>
  <si>
    <t>(source: INE)</t>
  </si>
  <si>
    <t>Incorporates estimated limit to development on Sal</t>
  </si>
  <si>
    <t>Analysis of Land Registration Investment on Boa Vista</t>
  </si>
  <si>
    <t>Average occupancy Boa Vista</t>
  </si>
  <si>
    <t>Average occupancy Sal</t>
  </si>
  <si>
    <t>Sal Project Investment (USD million)</t>
  </si>
  <si>
    <t>Sal Project Investment (CVE million)</t>
  </si>
  <si>
    <t>BV Project Investment (USD million)</t>
  </si>
  <si>
    <t>BV Project Investment (CVE million)</t>
  </si>
  <si>
    <t>Development of additional employment with</t>
  </si>
  <si>
    <t>Full development area (ha)</t>
  </si>
  <si>
    <t>Full bed capacity</t>
  </si>
  <si>
    <t>Total employed with</t>
  </si>
  <si>
    <t>Beds w/o</t>
  </si>
  <si>
    <t>Beds incr w/o</t>
  </si>
  <si>
    <t>Beds incr w</t>
  </si>
  <si>
    <t>Beds w</t>
  </si>
  <si>
    <t>Beds growth w</t>
  </si>
  <si>
    <t>Assumes with project results in effect in year 2014</t>
  </si>
  <si>
    <t>Analysis of Proposed Land Registration Investment on Boa Vista</t>
  </si>
  <si>
    <t>Assumes with project results in effect in year 2014; processing time reduced by two years</t>
  </si>
  <si>
    <t>Land Registration Time Reduced by 2 years</t>
  </si>
  <si>
    <t>Reduction in land registration time (mo)</t>
  </si>
  <si>
    <t>Assumes with project results in effect in year 2014; processing time reduced by one year (for internal check of modeling)</t>
  </si>
  <si>
    <t>integer values only: 24 max (target); 12 min (effectiveness unlikely)</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</si>
  <si>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</si>
  <si>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</si>
  <si>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</si>
  <si>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</si>
  <si>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</si>
  <si>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</si>
  <si>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</si>
  <si>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</si>
  <si>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</si>
  <si>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</si>
  <si>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</si>
  <si>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</si>
  <si>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6cda80ad-ac1c-439b-9d49-a1283dcf02b0</t>
  </si>
  <si>
    <t>CB_Block_0</t>
  </si>
  <si>
    <t>Decisioneering:7.0.0.0</t>
  </si>
  <si>
    <t>33a43263-e7b6-45be-97a5-814183680f3c</t>
  </si>
  <si>
    <t>cbed77c1-3180-4911-be97-6964b9366e5d</t>
  </si>
  <si>
    <t>23fdd72d-7c8c-4694-9491-7eef655acdea</t>
  </si>
  <si>
    <t>Analysis of Proposed Land Registration Investment on S. Vicente</t>
  </si>
  <si>
    <t>S. Vicente Growth of Touriist Accommodation Short Term</t>
  </si>
  <si>
    <t>BV Growth of Tourist Accommodation Long Term</t>
  </si>
  <si>
    <t>BV Growth of Tourist Accommodation</t>
  </si>
  <si>
    <t>Sal Growth of Tourist Accommodation (2000-2009 trend)</t>
  </si>
  <si>
    <t>Monthly Salary Boa Vista</t>
  </si>
  <si>
    <t>Analysis of Land Registration Investment on S. Vicente</t>
  </si>
  <si>
    <t>Average occupancy S. Vicente</t>
  </si>
  <si>
    <t>Estimated Incremental Lodging Employment (CVE million)</t>
  </si>
  <si>
    <t>Estimated Incremental Lodging Employment (person)</t>
  </si>
  <si>
    <t>Tourism lodging emploment % of VA</t>
  </si>
  <si>
    <t>Estimated Incremental Internal Transport Employment (CVE million)</t>
  </si>
  <si>
    <t>Estimated Incremental Internal Transport Employment (person)</t>
  </si>
  <si>
    <t>Estimated Discretionary Spending Employment (CVE million)</t>
  </si>
  <si>
    <t>Estimated Discretionary Spending Employment (person)</t>
  </si>
  <si>
    <t>Estimated Construction Employment (CVE million)</t>
  </si>
  <si>
    <t>Estimated Construction Employment (person)</t>
  </si>
  <si>
    <t>Internal transport employment % of VA</t>
  </si>
  <si>
    <t>Discretionary spending employment % of VA</t>
  </si>
  <si>
    <t>Construction employment % of VA</t>
  </si>
  <si>
    <t>assuming 90% of share</t>
  </si>
  <si>
    <t>assuming 75% of share</t>
  </si>
  <si>
    <t>Government (CVE million)</t>
  </si>
  <si>
    <t>Consumption per day year 2007 (in $2005 PPP)</t>
  </si>
  <si>
    <t>&lt; $1.25</t>
  </si>
  <si>
    <t xml:space="preserve">&lt; $2  </t>
  </si>
  <si>
    <t>$2-$4</t>
  </si>
  <si>
    <t>&gt; $4</t>
  </si>
  <si>
    <t>National Population per Poverty Level</t>
  </si>
  <si>
    <t>Beneficiaries</t>
  </si>
  <si>
    <t>Mean Annual Consumption ( $2005 PPP)</t>
  </si>
  <si>
    <t>Poverty Scorecard</t>
  </si>
  <si>
    <r>
      <t xml:space="preserve">MCC Cost </t>
    </r>
    <r>
      <rPr>
        <b/>
        <sz val="8"/>
        <rFont val="Arial"/>
        <family val="2"/>
      </rPr>
      <t>(Millions USD)</t>
    </r>
  </si>
  <si>
    <t>including price contingencies</t>
  </si>
  <si>
    <t>20-Year ERR</t>
  </si>
  <si>
    <r>
      <t xml:space="preserve">Present Value </t>
    </r>
    <r>
      <rPr>
        <b/>
        <sz val="8"/>
        <rFont val="Arial"/>
        <family val="2"/>
      </rPr>
      <t>(PV)</t>
    </r>
    <r>
      <rPr>
        <b/>
        <sz val="9"/>
        <rFont val="Arial"/>
        <family val="2"/>
      </rPr>
      <t xml:space="preserve"> of Benefit Stream </t>
    </r>
    <r>
      <rPr>
        <b/>
        <sz val="8"/>
        <rFont val="Arial"/>
        <family val="2"/>
      </rPr>
      <t>(Millions USD)</t>
    </r>
  </si>
  <si>
    <t>Consumption per day (2005 PPP $)</t>
  </si>
  <si>
    <r>
      <t xml:space="preserve">&lt; $2 </t>
    </r>
    <r>
      <rPr>
        <vertAlign val="superscript"/>
        <sz val="9"/>
        <rFont val="Arial"/>
        <family val="2"/>
      </rPr>
      <t>1</t>
    </r>
    <r>
      <rPr>
        <sz val="9"/>
        <rFont val="Arial"/>
        <family val="2"/>
      </rPr>
      <t xml:space="preserve"> </t>
    </r>
  </si>
  <si>
    <r>
      <t xml:space="preserve">Beneficiary Households in Year 20 </t>
    </r>
    <r>
      <rPr>
        <sz val="8"/>
        <rFont val="Arial"/>
        <family val="2"/>
      </rPr>
      <t>(#)</t>
    </r>
  </si>
  <si>
    <r>
      <t xml:space="preserve">Beneficiary Individuals in Year 20 </t>
    </r>
    <r>
      <rPr>
        <sz val="8"/>
        <rFont val="Arial"/>
        <family val="2"/>
      </rPr>
      <t>(#)</t>
    </r>
  </si>
  <si>
    <r>
      <t xml:space="preserve">National Population in Year 20 </t>
    </r>
    <r>
      <rPr>
        <vertAlign val="superscript"/>
        <sz val="9"/>
        <rFont val="Arial"/>
        <family val="2"/>
      </rPr>
      <t>2</t>
    </r>
    <r>
      <rPr>
        <sz val="9"/>
        <rFont val="Arial"/>
        <family val="2"/>
      </rPr>
      <t xml:space="preserve"> </t>
    </r>
    <r>
      <rPr>
        <sz val="8"/>
        <rFont val="Arial"/>
        <family val="2"/>
      </rPr>
      <t>(#)</t>
    </r>
  </si>
  <si>
    <r>
      <t xml:space="preserve">Beneficiary Population by Poverty Level </t>
    </r>
    <r>
      <rPr>
        <sz val="8"/>
        <rFont val="Arial"/>
        <family val="2"/>
      </rPr>
      <t>(%)</t>
    </r>
  </si>
  <si>
    <r>
      <t xml:space="preserve">National Population by Poverty Level </t>
    </r>
    <r>
      <rPr>
        <vertAlign val="superscript"/>
        <sz val="9"/>
        <rFont val="Arial"/>
        <family val="2"/>
      </rPr>
      <t>3</t>
    </r>
    <r>
      <rPr>
        <sz val="9"/>
        <rFont val="Arial"/>
        <family val="2"/>
      </rPr>
      <t xml:space="preserve"> </t>
    </r>
    <r>
      <rPr>
        <sz val="8"/>
        <rFont val="Arial"/>
        <family val="2"/>
      </rPr>
      <t>(%)</t>
    </r>
  </si>
  <si>
    <r>
      <t xml:space="preserve">PV of Benefit Stream Per Beneficiary </t>
    </r>
    <r>
      <rPr>
        <sz val="8"/>
        <rFont val="Arial"/>
        <family val="2"/>
      </rPr>
      <t xml:space="preserve">(USD) </t>
    </r>
  </si>
  <si>
    <r>
      <t>PV of Benefit Stream as Share of Annual Income</t>
    </r>
    <r>
      <rPr>
        <sz val="8"/>
        <rFont val="Arial"/>
        <family val="2"/>
      </rPr>
      <t xml:space="preserve"> (%)</t>
    </r>
  </si>
  <si>
    <t>Cost Effectiveness</t>
  </si>
  <si>
    <t>Percent of Project Participants Who Are Female</t>
  </si>
  <si>
    <r>
      <t xml:space="preserve">GNI per capita </t>
    </r>
    <r>
      <rPr>
        <vertAlign val="superscript"/>
        <sz val="9"/>
        <rFont val="Arial"/>
        <family val="2"/>
      </rPr>
      <t xml:space="preserve">5 </t>
    </r>
    <r>
      <rPr>
        <sz val="9"/>
        <rFont val="Arial"/>
        <family val="2"/>
      </rPr>
      <t>(USD)</t>
    </r>
  </si>
  <si>
    <t>Current National Population</t>
  </si>
  <si>
    <r>
      <t xml:space="preserve">1    </t>
    </r>
    <r>
      <rPr>
        <sz val="8"/>
        <rFont val="Arial"/>
        <family val="2"/>
      </rPr>
      <t>The beneficiaries and population living on less than $2 per day include those under $1.25 per day</t>
    </r>
  </si>
  <si>
    <r>
      <t xml:space="preserve">2    </t>
    </r>
    <r>
      <rPr>
        <sz val="8"/>
        <rFont val="Arial"/>
        <family val="2"/>
      </rPr>
      <t>Based on 2010 population census estimate, projected to Year 20</t>
    </r>
  </si>
  <si>
    <t>Estimated Airline Employment (CVE million)</t>
  </si>
  <si>
    <t>Airfare employment % of VA</t>
  </si>
  <si>
    <t>Estimated Airline Employment (person)</t>
  </si>
  <si>
    <t>Total Employment (CVE million)</t>
  </si>
  <si>
    <t>Non-Government Profit (CVE million)</t>
  </si>
  <si>
    <t>Analysis of Land Registration Investment on Toursim Islands</t>
  </si>
  <si>
    <t xml:space="preserve">Total </t>
  </si>
  <si>
    <t/>
  </si>
  <si>
    <t>Allocation of PV Benefits</t>
  </si>
  <si>
    <t>PV Benefits</t>
  </si>
  <si>
    <t xml:space="preserve">Estimated Incremental Lodging Employment </t>
  </si>
  <si>
    <t xml:space="preserve">Estimated Incremental Internal Transport Employment </t>
  </si>
  <si>
    <t xml:space="preserve">Estimated Discretionary Spending Employment </t>
  </si>
  <si>
    <t xml:space="preserve">Estimated Airline Employment </t>
  </si>
  <si>
    <t xml:space="preserve">Estimated Construction Employment </t>
  </si>
  <si>
    <t>Non-Government Profit</t>
  </si>
  <si>
    <t>Total Excluding Government</t>
  </si>
  <si>
    <t>Estimated Incremental Lodging Employment</t>
  </si>
  <si>
    <t>Estimated Discretionary Spending Employment</t>
  </si>
  <si>
    <t>Incremental Employment (person)</t>
  </si>
  <si>
    <t>Land Registration Project</t>
  </si>
  <si>
    <t>Local business owners</t>
  </si>
  <si>
    <t>Estimate assuming on average 5 employees per business</t>
  </si>
  <si>
    <t>TACV</t>
  </si>
  <si>
    <t xml:space="preserve">Local Lodging Business Owners </t>
  </si>
  <si>
    <t>Estimated on current number of establishments; growth in capacity of about 4X over the next twenty years</t>
  </si>
  <si>
    <t>Long-term Average Employment</t>
  </si>
  <si>
    <t>Other Individual Beneficiaries</t>
  </si>
  <si>
    <t>Local Construction Company Owners</t>
  </si>
  <si>
    <t>Estimated Breakdown of Non-Government Beneficiaries</t>
  </si>
  <si>
    <t>Household Size</t>
  </si>
  <si>
    <t>Share of Beneficary Population</t>
  </si>
  <si>
    <r>
      <t>The Magnitude of the Benefits</t>
    </r>
    <r>
      <rPr>
        <b/>
        <vertAlign val="superscript"/>
        <sz val="9"/>
        <rFont val="Arial"/>
        <family val="2"/>
      </rPr>
      <t>4</t>
    </r>
  </si>
  <si>
    <r>
      <t xml:space="preserve">5   </t>
    </r>
    <r>
      <rPr>
        <sz val="8"/>
        <rFont val="Arial"/>
        <family val="2"/>
      </rPr>
      <t>See MCC 2011 Scorecard</t>
    </r>
  </si>
  <si>
    <r>
      <t xml:space="preserve">3    </t>
    </r>
    <r>
      <rPr>
        <sz val="8"/>
        <rFont val="Arial"/>
        <family val="2"/>
      </rPr>
      <t>Based on national income distribution figures based on Quibb data</t>
    </r>
  </si>
  <si>
    <r>
      <t xml:space="preserve">4    </t>
    </r>
    <r>
      <rPr>
        <sz val="8"/>
        <rFont val="Arial"/>
        <family val="2"/>
      </rPr>
      <t>PV benefits excluding government revenue</t>
    </r>
  </si>
  <si>
    <t>Investment Costs (USD million)</t>
  </si>
  <si>
    <t xml:space="preserve">  National Fixed</t>
  </si>
  <si>
    <t xml:space="preserve">  Sal</t>
  </si>
  <si>
    <t xml:space="preserve">  Boa Vista</t>
  </si>
  <si>
    <t xml:space="preserve">  S. Vicente</t>
  </si>
  <si>
    <t>SVic Project Investmetn (CVE million)</t>
  </si>
  <si>
    <t>SVic Project Investmetn (USD million)</t>
  </si>
  <si>
    <t>Assumed breakdown of distribution of employment among immigrants</t>
  </si>
  <si>
    <t>Incremental bednights (annual increment)</t>
  </si>
  <si>
    <t>Incremental water demand (m3)</t>
  </si>
  <si>
    <t>Incremental Infrastructure investment (USD million)</t>
  </si>
  <si>
    <t>Incremental Infrastructure investment (CVE million)</t>
  </si>
  <si>
    <t>Incremental property development costs</t>
  </si>
  <si>
    <t xml:space="preserve">Land Registration Project Investment Costs </t>
  </si>
  <si>
    <t>Property Development Costs (CVE million)</t>
  </si>
  <si>
    <t xml:space="preserve">Other Infrastructure Development Costs </t>
  </si>
  <si>
    <t>MCC Costs</t>
  </si>
  <si>
    <t xml:space="preserve">MCC Total Costs </t>
  </si>
  <si>
    <t>Government Revenue</t>
  </si>
  <si>
    <t xml:space="preserve">Property Development </t>
  </si>
  <si>
    <t>Other Infrastructure</t>
  </si>
  <si>
    <t>PV of Local Costs (CVE million)</t>
  </si>
  <si>
    <t>Allocation of PV Local Costs (CVE million)</t>
  </si>
  <si>
    <t>PV of Benefit Stream Net Local Costs Per Beneficiary (USD)</t>
  </si>
  <si>
    <t>Total PV Local Costs</t>
  </si>
  <si>
    <r>
      <t xml:space="preserve">PV of Benefit Stream/Project Dollar </t>
    </r>
    <r>
      <rPr>
        <sz val="8"/>
        <rFont val="Arial"/>
        <family val="2"/>
      </rPr>
      <t>(USD)</t>
    </r>
    <r>
      <rPr>
        <vertAlign val="superscript"/>
        <sz val="8"/>
        <rFont val="Arial"/>
        <family val="2"/>
      </rPr>
      <t>4</t>
    </r>
  </si>
  <si>
    <t>CB_Block_7.0.0.0:1</t>
  </si>
  <si>
    <t>Accommodation development cost (USD/m2)</t>
  </si>
  <si>
    <t>PV Benefits Net Local Costs (CVE million)</t>
  </si>
  <si>
    <t>bbd60fe6-8eaa-412c-8aa7-ead892141d6a</t>
  </si>
  <si>
    <t>0e8f45d3-4c28-4349-a850-8baab1c43fe0</t>
  </si>
  <si>
    <t>PV Benefits Net Local Costs (USD million)</t>
  </si>
  <si>
    <t>Statistic</t>
  </si>
  <si>
    <t>Forecast values</t>
  </si>
  <si>
    <t>Trials</t>
  </si>
  <si>
    <t>Base Case</t>
  </si>
  <si>
    <t>Mean</t>
  </si>
  <si>
    <t>Median</t>
  </si>
  <si>
    <t>Mode</t>
  </si>
  <si>
    <t>Standard Deviation</t>
  </si>
  <si>
    <t>Variance</t>
  </si>
  <si>
    <t>Skewness</t>
  </si>
  <si>
    <t>Kurtosis</t>
  </si>
  <si>
    <t>Coeff. of Variability</t>
  </si>
  <si>
    <t>Minimum</t>
  </si>
  <si>
    <t>Maximum</t>
  </si>
  <si>
    <t>Mean Std. Error</t>
  </si>
  <si>
    <t xml:space="preserve">Forecast: Estimated Construction Employment </t>
  </si>
  <si>
    <t>'---</t>
  </si>
  <si>
    <t xml:space="preserve">Forecast: Estimated Airline Employment </t>
  </si>
  <si>
    <t xml:space="preserve">Forecast: Estimated Discretionary Spending Employment </t>
  </si>
  <si>
    <t xml:space="preserve">Forecast: Estimated Incremental Internal Transport Employment </t>
  </si>
  <si>
    <t xml:space="preserve">Forecast: Estimated Incremental Lodging Employment </t>
  </si>
  <si>
    <t xml:space="preserve">Forecast: Property Development </t>
  </si>
  <si>
    <t xml:space="preserve">Forecast: Other Infrastructure </t>
  </si>
  <si>
    <t xml:space="preserve">Forecast: Lodging Employment </t>
  </si>
  <si>
    <t xml:space="preserve">Forecast: Internal Transport Employment </t>
  </si>
  <si>
    <t xml:space="preserve">Forecast: Other Tourism Employment </t>
  </si>
  <si>
    <t xml:space="preserve">Forecast: TACV Employment </t>
  </si>
  <si>
    <t xml:space="preserve">Forecast: Construction Employment  </t>
  </si>
  <si>
    <t xml:space="preserve">Forecast: Government  </t>
  </si>
  <si>
    <t xml:space="preserve">Forecast: Govt </t>
  </si>
  <si>
    <t xml:space="preserve">Forecast: Local Profit </t>
  </si>
  <si>
    <t>Mean Values (Drawn from simulation results reported on tab 'BA_Data_Simulation')</t>
  </si>
  <si>
    <t>Data for Beneficiary Analysis</t>
  </si>
  <si>
    <t>Data for Beneficiary Analysis from Crystal Ball Trials</t>
  </si>
  <si>
    <t xml:space="preserve">Forecast: ERR </t>
  </si>
  <si>
    <t>NB This not the report ERR;  the reported ERR is the simulated mean value</t>
  </si>
  <si>
    <t>Analysis of Land Registration Investment on Tourism Islands</t>
  </si>
  <si>
    <t xml:space="preserve">Without </t>
  </si>
  <si>
    <t>Bed Capacity</t>
  </si>
  <si>
    <t>Data for M&amp;E Plan Indicators</t>
  </si>
  <si>
    <t>With</t>
  </si>
  <si>
    <t>Aggregations for S. Vicente, Sal and Boa Vista</t>
  </si>
  <si>
    <t>% Increase Above Without Trend</t>
  </si>
  <si>
    <t>ERR and sensitivity analysis</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</si>
  <si>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</si>
  <si>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Parameter type</t>
  </si>
  <si>
    <t>Description of key parameters</t>
  </si>
  <si>
    <t>Parameter values</t>
  </si>
  <si>
    <t xml:space="preserve">Values used in ERR computation </t>
  </si>
  <si>
    <t>All summary parameters set to initial values?</t>
  </si>
  <si>
    <t>Summary</t>
  </si>
  <si>
    <t>Actual costs as a percentage of estimated costs</t>
  </si>
  <si>
    <t>80%-120%</t>
  </si>
  <si>
    <t>Actual benefits as a percentage of estimated benefits</t>
  </si>
  <si>
    <t xml:space="preserve">   More Info</t>
  </si>
  <si>
    <r>
      <t xml:space="preserve">   </t>
    </r>
    <r>
      <rPr>
        <u val="single"/>
        <sz val="10"/>
        <color indexed="12"/>
        <rFont val="Arial"/>
        <family val="2"/>
      </rPr>
      <t>Project Description</t>
    </r>
  </si>
  <si>
    <r>
      <t xml:space="preserve">   </t>
    </r>
    <r>
      <rPr>
        <u val="single"/>
        <sz val="10"/>
        <color indexed="12"/>
        <rFont val="Arial"/>
        <family val="2"/>
      </rPr>
      <t>User's Guide</t>
    </r>
  </si>
  <si>
    <t xml:space="preserve">User Generated Economic rate of return (ERR)*: </t>
  </si>
  <si>
    <t>MCC Estimated ERRs:</t>
  </si>
  <si>
    <t>Original</t>
  </si>
  <si>
    <t>Date</t>
  </si>
  <si>
    <t>Present Value (PV) of Benefits:</t>
  </si>
  <si>
    <t>Present Value (PV) of MCC Costs:</t>
  </si>
  <si>
    <t xml:space="preserve">* This is the only ERR figure linked to other spreadsheets. "Original," "Revised," and "Closeout" ERRs are all static for purposes of illustration. </t>
  </si>
  <si>
    <r>
      <rPr>
        <vertAlign val="superscript"/>
        <sz val="8"/>
        <rFont val="Arial"/>
        <family val="2"/>
      </rPr>
      <t>1</t>
    </r>
    <r>
      <rPr>
        <sz val="8"/>
        <rFont val="Arial"/>
        <family val="2"/>
      </rPr>
      <t xml:space="preserve"> This graph presents the yearly benefits accrued as a result of the project, minus the yearly costs to MCC of implementing the project.</t>
    </r>
  </si>
  <si>
    <r>
      <rPr>
        <vertAlign val="superscript"/>
        <sz val="8"/>
        <rFont val="Arial"/>
        <family val="2"/>
      </rPr>
      <t>2</t>
    </r>
    <r>
      <rPr>
        <sz val="8"/>
        <rFont val="Arial"/>
        <family val="2"/>
      </rPr>
      <t xml:space="preserve"> This graph was produced by running a simulation of the project's ERR 10,000 times, each of which varied the "Specific Parameters" listed in the table above according to a specified probabilistic distribution. It is meant to illustrate the uncertainty around the final ERR figure presented in this spreadsheet, and to give an idea of how likely higher and lower ERRs given this uncertainty. </t>
    </r>
  </si>
  <si>
    <t>Parameter</t>
  </si>
  <si>
    <t>Unit</t>
  </si>
  <si>
    <t>CVE</t>
  </si>
  <si>
    <t>Value-added per bed night</t>
  </si>
  <si>
    <t>Probability Distribution:</t>
  </si>
  <si>
    <t>Crystal Ball Website</t>
  </si>
  <si>
    <t>Growth in capacity without project</t>
  </si>
  <si>
    <t>Annual, %</t>
  </si>
  <si>
    <t>Cape Verde II</t>
  </si>
  <si>
    <t>Sensitivity Analysis: Present Value of net benefits given uncertainty in key parameters</t>
  </si>
  <si>
    <t>Sensitivity Analysis: ERR given uncertainty in key parameters</t>
  </si>
  <si>
    <t>(See "Combined Cost Benefit" tab for details)</t>
  </si>
  <si>
    <t>Original ERR</t>
  </si>
  <si>
    <t>ERR**</t>
  </si>
  <si>
    <t>**Note: this is the officially reported ERR, which was calculated by running a number of simulations using random values of parameters within assigned distributions (see tables below). This figure differs slightly from the "base case" figure in cell D15, which is an illustrative point estimate using mean values of these parameters. Users can adjust the figure in cell D15 by changing parameter values in the tables above. However, users should be aware that more extreme parameter values are typically less likely to occur in the real world than those values which are closer to mean estimates, meaning that these scenarios were given less "weight" in the ERR analysis performed by MCC. Please contact the MCC for more information on the methodology used for this ERR calculation.</t>
  </si>
  <si>
    <t xml:space="preserve">This tab provides details on the parameters and probability distributions used in calculating the final project ERR. Each of the parameters was assigned a mean value and a distribution. These parameters were then entered into Crystal Ball, a software program used to perform sensitivity analysis. The software program runs a large number of simulations using these parameters (8000, in this case). The mean values for ERR and net benefits are used as the final reported figures for the project. 
For more information on the Crystal Ball program and its applications for economic analysis, please visit the website linked below. </t>
  </si>
  <si>
    <t>Crystal Ball %</t>
  </si>
  <si>
    <t>User input</t>
  </si>
  <si>
    <t>MCC estimate</t>
  </si>
  <si>
    <t>Plausible range for results</t>
  </si>
  <si>
    <t>Likelihood of lower bound result</t>
  </si>
  <si>
    <t>Likelihood of upper bound result</t>
  </si>
  <si>
    <t>ERR Version</t>
  </si>
  <si>
    <t>Date of ERR</t>
  </si>
  <si>
    <t>Amount of MCC funds</t>
  </si>
  <si>
    <t>Project Description</t>
  </si>
  <si>
    <t>Benefit streams included in ERR</t>
  </si>
  <si>
    <t>Costs included in ERR (not borne by MCC)</t>
  </si>
  <si>
    <t>ERR estimations and time horizon</t>
  </si>
  <si>
    <t>Table of Contents</t>
  </si>
  <si>
    <t>One should read this sheet first, as it offers a summary of the project, a list of components, and states the economic rationale for the project.</t>
  </si>
  <si>
    <t>ERR &amp; Sensitivity Analysis</t>
  </si>
  <si>
    <t>This worksheet presents the aggregated costs and benefits from the project activities year-by-year, calculating a combined ERR</t>
  </si>
  <si>
    <t>This worksheet shows the cost effectiveness of the project broken out into different poverty categories.</t>
  </si>
  <si>
    <t>Cape Verde II : Land Management for Investment</t>
  </si>
  <si>
    <t>Economic Rationale</t>
  </si>
  <si>
    <t>This tab provides details on the parameters and probability distributions used in calculating the final project ERR.</t>
  </si>
  <si>
    <t>Aggregate Cost-Benefit Summary</t>
  </si>
  <si>
    <t>22% over 20 years *</t>
  </si>
  <si>
    <t>Indicators</t>
  </si>
  <si>
    <t xml:space="preserve">This worksheet highlights key assumptions and summarizes how the ERR may change due to varying costs and benefits.  This worksheet also shows the key outputs from the ERR calculation done in Crystal Ball. </t>
  </si>
  <si>
    <t>AnalysisSvic</t>
  </si>
  <si>
    <t>SVicData</t>
  </si>
  <si>
    <t>AnalysisSal</t>
  </si>
  <si>
    <t>SalData</t>
  </si>
  <si>
    <t>AnalysisBV</t>
  </si>
  <si>
    <t>BoaVistaData</t>
  </si>
  <si>
    <t>Parameters</t>
  </si>
  <si>
    <t>BA_Data</t>
  </si>
  <si>
    <t>BA_Data_Simulation</t>
  </si>
  <si>
    <t>This tab aggregates increase in bed capacity data for S. Vicente, Sal, and Boa Vista</t>
  </si>
  <si>
    <t>This tab provides analysis of Land Registration Investment on S. Vicente</t>
  </si>
  <si>
    <t>This tab provides data relevant to proposed land registration investment on S. Vicente</t>
  </si>
  <si>
    <t>This tab provides analysis of Land Registration Investment on Sal</t>
  </si>
  <si>
    <t>This tab provides data relevant to proposed land registration investment on Sal</t>
  </si>
  <si>
    <t>This tab provides analysis of Land Registration Investment on Boa Vista</t>
  </si>
  <si>
    <t>This tab provides data relevant to proposed land registration investment on Boa Vista</t>
  </si>
  <si>
    <t>This tab provides aggregate beneficiary data across S. Vincene, Sal, and Boa Vista.</t>
  </si>
  <si>
    <t>This tab provides parameter assumptions used throughout model relevant to S. Vincene, Sal, and Boa Vista.</t>
  </si>
  <si>
    <t>This tab provides data simulation values for Beneficiary Analysis from Crystal Ball trials</t>
  </si>
  <si>
    <t>*Note: Official ERR calculated using a Monte Carlo simulation and may not match the ERR calculated within this workbook.</t>
  </si>
  <si>
    <t>Project Design History</t>
  </si>
  <si>
    <t>Project Components</t>
  </si>
  <si>
    <t>Specific</t>
  </si>
  <si>
    <t>All specific parameters set to initial values?</t>
  </si>
  <si>
    <t>Lodging Net VA Based on estimation of USD 8 per bednight, considering only employed nationals.</t>
  </si>
  <si>
    <t>Based on value chain study (2010) figure for 7-day stay, adjusted to 2011 values (1.05 factor).</t>
  </si>
  <si>
    <t>ha/bed capacity</t>
  </si>
  <si>
    <t>Investment Cost as Percentage of Estimated:</t>
  </si>
  <si>
    <t>Investment Costs as % of Estimated</t>
  </si>
  <si>
    <t>12 - 24</t>
  </si>
  <si>
    <t>Reduction in Land Registration Time (mo)</t>
  </si>
  <si>
    <t>Percent Local Investment</t>
  </si>
  <si>
    <t>% Development Cost as Income to Cape Verde</t>
  </si>
  <si>
    <t>Accommodation Development Cost (USD/m2)</t>
  </si>
  <si>
    <t>Value Added as % of Estimated:</t>
  </si>
  <si>
    <t>Value Added as % of estimated across all elements</t>
  </si>
  <si>
    <t>10% discount</t>
  </si>
  <si>
    <t>NPV Benefits (USD):</t>
  </si>
  <si>
    <t>Total MCC Cost (mUSD):</t>
  </si>
  <si>
    <t>- Property development value added</t>
  </si>
  <si>
    <t>- Incremental tourism value added</t>
  </si>
  <si>
    <t>At 200 l/p/d</t>
  </si>
  <si>
    <t>Estimated at twice the cost for incremental capacity needed to provide  water services.</t>
  </si>
  <si>
    <t>Aggregate Cost/Benefit Summary</t>
  </si>
  <si>
    <t>Combined-Prob Distributions</t>
  </si>
  <si>
    <t>Hotels</t>
  </si>
  <si>
    <t>Type of Establishment</t>
  </si>
  <si>
    <t>Beds</t>
  </si>
  <si>
    <t>Apartment Hotels</t>
  </si>
  <si>
    <t>Tourist Villages</t>
  </si>
  <si>
    <t>Residential</t>
  </si>
  <si>
    <t>*year 2018 construction is moved up</t>
  </si>
  <si>
    <t>95% Conf interval:</t>
  </si>
  <si>
    <t>Cost Scenario</t>
  </si>
  <si>
    <t>Benefit Scenario</t>
  </si>
  <si>
    <r>
      <t xml:space="preserve">Total Costs </t>
    </r>
    <r>
      <rPr>
        <i/>
        <sz val="11"/>
        <color indexed="8"/>
        <rFont val="Calibri"/>
        <family val="2"/>
      </rPr>
      <t>(Adjusted)</t>
    </r>
  </si>
  <si>
    <r>
      <t xml:space="preserve">Compact Administratin and Management Costs (CVE million) </t>
    </r>
    <r>
      <rPr>
        <i/>
        <sz val="11"/>
        <color indexed="8"/>
        <rFont val="Calibri"/>
        <family val="2"/>
      </rPr>
      <t>(Adjusted)</t>
    </r>
  </si>
  <si>
    <r>
      <t>Incremental Benefit (CVE million)</t>
    </r>
    <r>
      <rPr>
        <i/>
        <sz val="11"/>
        <color indexed="8"/>
        <rFont val="Calibri"/>
        <family val="2"/>
      </rPr>
      <t xml:space="preserve"> (Adjusted)</t>
    </r>
  </si>
  <si>
    <r>
      <t xml:space="preserve">Incremental Benefit (USD million) </t>
    </r>
    <r>
      <rPr>
        <i/>
        <sz val="11"/>
        <color indexed="8"/>
        <rFont val="Calibri"/>
        <family val="2"/>
      </rPr>
      <t>(Adjusted)</t>
    </r>
  </si>
  <si>
    <t>All benefits incremental; PVs based on 10% discount rate and exclude MCC costs but net out any local costs</t>
  </si>
  <si>
    <t>The GoCV seeks to create a single reliable and easily accessible source of land rights and land boundaries information. This is expected to strengthen Cape Verde’s investment climate for large and small investors and to reduce land registration costs for all users. First, each of the country’s core land administration institutions in targeted islands would utilize a new, common information and transaction system for execution of its functions. This is designed to achieve greater efficiency in land registration-related transactions and land administration in the short term, and more efficient tax administration in the long term. Second, rights and boundaries information will be clarified in targeted islands of high investment potential to the extent that existing information is not conclusive. This new information will be input into the information system, enabling all land users to more quickly and conclusively identify land parcel boundaries and rights. The GoCV anticipates that greater legal certainty of land rights will result from the project.</t>
  </si>
  <si>
    <t>Sub-Activity: Develop and install land information and transaction systems</t>
  </si>
  <si>
    <t>The Legal and Institutional Foundations for Land Management and Property Rights Activity will consist of the two principal sub-activities listed below:</t>
  </si>
  <si>
    <t>Sub-Activity: Achieve legal, institutional, and procedural foundations</t>
  </si>
  <si>
    <t>Building on the legal and institutional groundwork, the Rights and Boundaries Clarification Activity will support actual clarification of parcel rights and boundaries in targeted islands of high tourism investment potential.  The Activity will consist of the three principal sub-activities listed:</t>
  </si>
  <si>
    <t>Sub-Activity : Strengthen capacity to maintain and expand spatial information</t>
  </si>
  <si>
    <t>Sub-Activity: Clarify rights and boundaries in islands of high investment potential</t>
  </si>
  <si>
    <t xml:space="preserve">Tourism and real estate development have been principal drivers of the economy over the last ten years and the country’s development strategy continues to place strong emphasis on developing tourism development zones on the islands of Sal, Boa Vista, St. Vicente, and Maio to generate employment opportunities and income.  The analysis considers the impact of reducing the time required to register property as it affects tourism development.  The primary determinant of the economic assessment is the time required to register property value, and to a lesser extent, value added per bed-night, accelerated value added from construction, constant occupancy rates and tourism growth rates following 2016. </t>
  </si>
  <si>
    <t>September 2011</t>
  </si>
  <si>
    <t>Last  Updated : 'September 2011</t>
  </si>
  <si>
    <t>Property rights institutional investment and recurrent costs</t>
  </si>
  <si>
    <t>NPV Costs (USD):</t>
  </si>
  <si>
    <t>Boarding Houses</t>
  </si>
  <si>
    <t>Yellow shaded cells denote input parameters</t>
  </si>
  <si>
    <t>Green shaded cells denote input parameters varied in Crystal Ball</t>
  </si>
  <si>
    <t>Cells shaded in blue denote Crystal Ball output cells.  The results of the simulations on these outputs are recorded in the BA_Data_Simulation tab.</t>
  </si>
  <si>
    <t>Incremental investment costs of property developers and incremental utility instructure costs linked to property development</t>
  </si>
  <si>
    <t>㜸〱敤㕣㕢㙣ㅣ㔷ㄹ摥㤹摤㔹敦慣敤搸㡤搳㑢㐲㘹つ扤搱㍡戸㜱㥡搰ㄶ〸挱㤷㍡㐹敢挴㙥散愴慤〰㙤挶扢㘷散㘹㜶㘶摣㤹㔹挷㉥㤵㈸戴㠰戸㐳愵㠲㈸攵愲ち㔵攲愵挰ぢ搷扥〰㤵㐰愸㤵㜸㈸て㈰ㅥ〲㐲昰〰㐲㤱㄰ㄲて㐸昰㝤㘷㘶㜶㘷㜷扤㘳㜷摢㠲㡢㝣ㅣㅦ㥦㌹户㌹攷扦㥦晦㍦㤳㡣㤲挹㘴晥㡤挴扦㑣㌹ㄶ慥㥥㕦昷〳㘱㡦㑥扡搵慡㈸〷㤶敢昸愳攳㥥㘷慣捦㔸㝥㤰㐵㠷㝣挹㐲扢慦㤵㝣敢㘱㔱㈸慤ち捦㐷㈷㉤㤳㈹ㄴ㜴ㄵ敤㥣㠴扦㠳昱㠳捥㔱㝤㌹㘴ぢ㤳ㄳ戳㡢て㘲搶昹挰昵挴晥攱戳攱搸㈳㘳㘳愳昸㌹㜴攸㡥搱〳晢㠷㈷㙢搵愰收㠹㈳㡥愸〵㥥㔱摤㍦㍣㔷㕢慣㕡攵㝢挴晡㠲㝢㕥㌸㐷挴攲㠱摢ㄶ㡤㐳㜷㡣ㅤ㍡㝣搸扣昳捥㍢晡昰敡捣愹挹㠹㌹㑦㤸晥㙢㌴愷挶㈵ㅦ㥡ㄲ㘵㡢㝢ㄳ挲戳㥣愵搱挹〹晣㑢慣ㅦ㑦户㡦捥㉦ぢㄱ昰搵挲ㄳ㑥㔹昸㍡〶昶摡攳扥㕦戳㔷〸㍣摤㥥挶㔶换㠶ㅦ㘸昶愴愸㔶㜵㍢㥥戵㘰捦〲㜶㔵㘳扤捦㥥ㄷ㡥㙦〵搶慡ㄵ慣攷敤〵㑣㔴改户捦昸攲戴攱㉣㠹㔳㠶㉤㌴晢㔸捤慡攴挲㤴挹摥ㄴ㑦㤱㕣㤸摣晥攸戸㙦㑦㉥ㅢ㥥㕣㤱㑦挰愴昴㥤昶捡捤㝤慦敢㍣㉦㤷㉥摦挰㌹㙦攸摣て㉤㘷つ慦摥㜳愴㜳捦㘸昳捤㉢戸戵㜳晦〴㡣㥡挷摣摣㜹㡣〴㘵㜳㙦愵㌷愲㙦〹㔱㙣㐶捦㌳敢㘱㔶㘰㐶〴敡㐵㘶扤捣晡㤰㈹戹扦㠳㑢㤲〳搹愴㤶っ戵戴愸㤶捡㙡愹愲㤶㠴㕡㌲搵搲㤲㕡㕡㔶㑢㤶㕡㝡㔰㉤㥤㐷㥦㌸ㄵ㝡㝡搴㈸ㅤ㕢晡挷晡ぢ攵㥦扥昷戱㡢捦晤㙣晡户㉦㕣散摢㠵㑥昷㐶㡢㥡昲㡣ぢ㈰戵〶ㄵㅦㅣ㍤挰㥦捤戹〲㑣㘱ㅥ㌶㙦㌷挷挶㉡㠷てㄸ户ㄹㅡ户㤵㠲晣㈶㐲ㄹ㐴摦㍥昳㍥换愹戸ㄷ㈴敥慥㥥㌰㝣搱〰摣㐸搴㌶攱搶㥣㡡晦愶㡤ㅢ攷〳㈳㄰晢㕡摢ㅡ㤳戴つ㥢〷㕢〹㕦扥敦㥡搶㘱㘷㡤㙡㑤㡣慦㔹㘱昳㥢㕢㥡敤㌹捦㕤散摣㍡敤㠹㠷敡慤㙤㉢ㅡ㠷㔰㕢㤵㜳户敤㌲㙣ち搷㌵㍣戹散晡挲㤱换ㅢ戱攷慣昲㜹攱捤ぢ㡡㐴㔱㤱㕢扤㥣㑤ㄱ搷㡦捣㍡搸㈸戸戵昲搶㘴慤㜹搷㕡〰㘶ㄶㄵ慣㜷㐵㜸挱晡㠲戱㔸ㄵ㔷㌴㜵〹摦㠹㠶扤㑤搵搳㙥戹收㑦扡㑥攰戹搵收㤶昱捡慡〱㐹㔳㌹改㔶㐴㉥㤷㤱㐲〱〲㌷㥢㔵㤴捣㉤㥤㜹㐱㈲㈲㠱㘲㌲昲㔵捤㘴㌷㝡ㅡ扢挳㉥慡㠲㌴愹㕥扦挹㘴㕣慦㤴㌱㈹ㅣ㤸搸ㄳ昵〷㕦晡戶㑤愶慤㘳敥昵敤慣慡㐳搱敥敦㕡ㄵ㑥㜰摣㜰㉡㔵攱愵㙡㍦㠵㉢搲〷㤰㘹㤷㈰㄰㍡㐲㡦慡㑥㔹㔳搶戵ぢ㔶㈵㔸捥㉦ぢ㙢㘹㌹㐰ㅤ㌴㘴愱㐰搰戶㈵晤㌲㔴改扢㤹つ㈱㉢ㄶ㌳昹㍤散㤴㉦㈲㘵㌴㑡愷ㄴ㕥㙥ㄲ攴ㅣ搷挴换㝤收戴㔵つ㐴㈸㤴〷㑣㘰㈴搴㙡ㄲ㝤晤㈴㔱捦㈸㠷ち㘳㡦㌹〹㉡㌵㉣㈷㔸㙦昰㙤ㅢ㤷㠴㐴戴㈳ぢ戶㥤㉣愰㈸㘸㤶〷㈹扣〶愲㘹㤱〶改㥤ㄳ㐴㐴㌶㐸搱散㤸戹㤹挸搸㍦㐵㐶愰㝦㤲〸搹晢㐰㘷ㄹ㐱㘲㙦㈷㔲づ敡挸㡦㍢搲㙣㈳㕢㍥㤴㘶㤷〳㜰晡ㄵ捣慥㘴㜶ㄵ戳扤挸㤴㍦㐱挲㔱捡愱摣㥣昴㌷攱㔹扦㥡搹㥢㤱㐱㍥改㤴㌹㤱愸愲つ戵ㄵ㍢㤲晤晡㘱㈷㑢愳㌸ㄴ㐵戴㡣敢㜶㘶扦㉤ㄱㅤ㔹㥤摢㐳搷收愴㡥扤戱㌳㙤㈶户㐳㡡㑣改㥡摣敢㈶㕤㤳㠰㘰搷㉥昵搶戵ㄸ慡て㌳㝢ぢ戲愲晥㔶收㔰㉥㌴㜸户㘶搱搳愴㝣㐳㤸㐵愱㌱搴愵㠲㡦〸㤹㐷㠰ㄴ㈱搷㜶㝣搹戱愱㘹づ㡥㤸㙦㜸ㅢ㝡㝦㘷晥㡥㤰摥愲㌷㜷昴づ晤㐵慦搰㡡扥づ散愵晣慥愳㡥戹〱捤晡㡤捣㙥㐲搶愲㘳㜸晡㝥愵㥥〲㘹ㄶ摢〹捣敤愶搷㐵㕡戹ぢ敢㉢㐲㙡愰㍥㜳挱昰㤶㐴〰て挶㠹㈹搸挲慥攷㠹㉡づ戵ㄵ㔹挱昳换㤵捤㤵晥戴攷摡慣摦戱㤱晤㌷㠴㘲挸攵搴㙣愶挵㐶㑥戱㌵ㄳ㍥愷〴攵㔰〷摦搶㔹㐸㈴〶㌵㤳ㄷ挷愵㥦㉦㜷㈴㐹ㄷ㤲攴㘶㠰㔵扦〵ㄹ愴㠴昲敢㡥ㄲ㘵㍦扢扤㕤㜶㙢戶㔸改攱㑢㌹㥤戴昸㄰摢攴㐸㙦攸戰㥤㠰晦挰敦户攷㉤扢㉥㉣㝡敤㌹攱㤵攱㕢戰慡愲ㄸ扡㘵㈹㙡㜶㘴挵ㅢ㐴㔶㘴戳㙤攷改ㄴ晦㥡愴㤳ㄶ㈹㤱捡敤愹㡤㈹㘷昱〶㔱搱つ㐹愱㤲攲ㅡ慡㑢㈰㔲ㅥ晢敥㠸㤸㉥㐴捣慤〰㥣㝥㠰搹ㄸ戳㠳挸戴㤷㈰㘹戶ち㜸㠶挳㝡㔶改搲㉥㤵㌲〵愲㐱扡〸㕦散㈸慣づ昳㌵敦㘰㜶㍢戲ㄶ昳㠷づ挸ㄴ㐲㤴㈸㑦㄰愲っ㘳㤸㘷㉤㜱㠱㌴戰换㐴㘰㘹戲收〷慥捤挸㔲扦㌹攵㥥㜲㠳㈹换㕦㐱㈴㙡挸㡣ち昷㉤ぢ〷搴攵挱昶㘹愹㜳㔷㔶㐴㐵㌷攷摤ㅡ㐴摢㠹愹敤㜰㌰〷㌸㘰㑢捡戳戹慡㈰㜵㜷㍥挶ㄴち㈰㉤晤慤昴挶㙥挹晢捤㐳摦㐰〳愲ぢ㔶㔰ㄵ扤㘶挸㜴㉣ㄷ㑣㐰ㄱ㤱㠳㑡㡦戹戰散〹㌱搵㙦ㅥ昳慣㑡搵㜲〴㤱〱ㅢ㤳挱扡ㄹ戱㠴㈸挱㥣换ㄸ愰敢昴㥢ぢ㥥攱昸㉢〶〳㡡敢扢㥢㥥㘴㔸㐴㌳㈷㉣挷挷㙢㈴ㄶ㔹ㅥ㌰攷㤷摤ぢ㠸搸搶㙣攷㤸戱攲㙦ぢ慣㤰攸挳㈴㔱愳愸㡡慡㉡〵戵搰㉤㝥㜸㈰捦㘴挸㝢㌹㘶ㄲ㔷ㄹ㡤㍥昳ㄴ敤㑤扢㍥㡡搱搰㑥攷㥡晡㄰㍤慡㔷㘶㔳愵㌰㌹㔵扦㤳㘳摥㠹散敥㘳㘷㑥㌴㈲㜳慦㉡㘶慤搱换㥦㈲攳㈵㔹搴〳㈱昴搱敤ち㐹㠵㜵愴ㅣ㜰㈰㌰捥愷㔶昲㉢㥡戲て愹㙦㔷愳㌸㡤㐸㔲㥦㌹㘳㉣㡡㉡攲搱戶ㄱ散ちㅦ㘸挶摡㐶搵㡦摡㈶㕤摢㌶㐸㕡㈴换昹戲㐱ちㅥ慦〵敥㐹换搱㑤㘴㤲晥愲㉡㘳つ㔵挶㥡慣敡㌳㑦㌳㌴㈸换㥣换㕤㌲㍣㉢㔸戶慤㜲㠱てっ摦㙤ぢ㥡〴㤳㔳昲挶㈹㤶ㄹ挳㉤搶晣ㄹ㤸㙣晥㈸搰㍤ち㌹㑡搰ㄱ晤愰㕣㔵挹攳㐷改搲戱〴〱㈳㍤愵晡扢㌱㥢㈶㙦㐷㐰攴挸㜴㈹扥㠳㜱改㐳愸〹㠵㄰戱㥥㐲㈲昰ち㈶㠴㍣㕤摣㜹昳㡣㘳〵挰ㅥ㌱㌶㙤〵㔳㍥㔰㡥っ㐵㜹扣摤㈷戱㥡ㄸ㌴㔲搷ち搷戶㌷㌵愹㠹㙢摡摢㤳㝡攳晡つ㥡㐳㡤㤲㔰㈴㥢㜵㤲㥡㘵㠳㌵㙥㈷㔵愳㐸挵ㅤ㙢ㅢ㈵捤㙤摡㠰㍢愵挸慢㔰㑣㤲㘶㌲晡㝢㈴愱㈰搰ㅢ改㈸晡散搳挹㈳ㄱ戱愱つ㔰愴㥥ち敢晡愳㤰攰〹㕣㍢愹㠸㘲昴〴晥摥ㄵㄵ㘷㙢㐱㔳㡢戱㌶ㄴ戵㡣㔷慢戳づ慣㠴戲攱㔵戶〹㑢㘳㙦愱㠶㤱摣搹慤昶て挱㥢㘰挴㠸つㄹㄶ㐹昱〳㠳つ挱㕣㠹㠸㉡慤戳㝥㠲扡㕥㕤攰搳㐹㘱㌸ㄲ〳昳㐱㘵㑡慣㑡㌳慣㘱挹て挹〱昵搳愲㤴愳扡㌹扥攸㐳愵〷㤴攳㔱㐹㌲戸㙥㥥愶㕢ち㤷ㄸ㈰㜶愳搲㕣㌹㐰㘸户㍥〱㑦〶摢〷㍢㠰㐸ㄸ㍡愱㜵㐶〹㥡㑦㈱摣收㑤㤰㜷扡挴㈸〴愹㈹搳摦㡥㉡㑦㝤㤹改㕢㐷㌳㜱㈱㘲㈲㠶扢㔲慣〷㈰㌷ㄹ㤹㈴ㄷつ挵〱昳㔰戲㐹愱搵ㄷ搷搱挴攸愷挹攷〵戸挵挳㔸搶〰搹愶㡡㝢㙥㠱〵㙤㕡㕤摦㘵㥥㜰捡搵㕡㐵㐸㔵ㅣ换㙡愹㤱户〵扥攴ㄵ挰㤰㥢㔲攰ㄲ〱攵〴㡥㔲摣㌲㤱搴扤摤慤ㅦ挵㜰㈹攴㌰㐷愸晡ㄸ㠰㑣㜱换挹㠰㔸摢㍤〵摡㠷扢ㅢㄷㄸ攴攵㌹㠸戴戶㉡捡戲ㄹ摣挷慢㐷㤱㈵户㈵扡捤戸㌳㉥㙤昶㐴搵㜱㉢慣摡ㄶ㌸挲㍥㐳㠱㤷捦挳ㄸ改㤲㍢㌸㐹收㔲ㄴ摤扤昴㈱昹㤸戹〴㔴㐸っ㈸㡣昱昲ㄴ㤴〱㔴挱㐸㌴戸搵㠶搵慤㌰晡㑢换㕢ㅦ㐷愶㌰っ㑣㠳ㄶ㍤㐳〳㘷ㄲ攵捤つ㥣㙢搱㉢㈵㐲㥡っ愶㌲㐶㌹〴㠷㍤㤰〶㙥攲㐱㝡挱㠵ㄲち昶挸㡢㘱昱摤挴ㄱㅢ㐷㈰搷扢愲愵㜲捥〸㜰晤挵搹摢㔲㍤㕥愹搰摣㠵㝦㙥㕢㘰ㄵ㔷㌷㐲㜳㜴㑦换愵㉣戹㈷摡㜷搷戵㌴㐴㤷〵て㑥㡤ㅥ㌷㠲昲昲㝣戰ㅥ㕥摣敡㤶㈴戴攷攱㡦搸昰敤戴㤹㜳づ㉦愲慥ㄲ昶挵昳㡥㝢挱㤱敢搲㝣摥晡〳㠵攰ち㘵てㄷ㔹捣晣ㅢ㍦㌲愹ㄹ敤挷㤸㜱㉢换收〴つ〷〹攷㤱㈹㤴〶挳㈸愷搰〹㙣昷晡慤〱搲挹㥥ㄶ㍡㤱㠲㘰㠷㔰㥣愵搷㡣㔰㤴ㅦ〱慤㈴㤶昰㐸づ㤸㍦ぢ搶㔷㝥㠸ㅡ㈲ㅣ捦㤱ㄸ搱摥㠲㔲ち敡愴㈰㡦慥㜸昰㐲挸晦て㤶㘲㙥摥㤰㥤晥ぢ捣慣晣愰ㄵ㐵搷㄰㐵摦㙦㐳㤱挲㙢㈰㤲㝦敦㡥ち㝣搰ㄸ㥥㝤㐵㠱㜰敥㘹攷〰晡扡㕦昸晤ㅦㅥ㐰㘷㠰㘱㈶㘹愳㈱搴㜶〳捡㜵ㄳ㈱摢㘶㈲㌰㜸㉦㑤㠴㤳ㅣ挳㈸㝥㘸㈲㐴㍥㤰㔹㔴㙣㙥㈲㌰戶㤷㘲〸㈶㐲慤〹户〶㑦㘰㔷搸昴㡦ㅤ挷挵㕢攱㈳㥥て愵攵㑦挲㈳㜵㘵㝢昵㥣攱ㄹ昶㕥㔹㝦捣ㄳ㔰㘶摥〲㙥㜲换㈱ㅣ戱㙦挳ㄶ㌹㘸〳㕦㐵散㘵摦昱愷㙣敤晥㍡㌰ㄵ愶搰㝤慦ㄴ㤴晣慢昰㤴㈸㍣㌷㘴㍥戸攷戹㘳扦㝦昸昱愳扣慤ㄶ搱慡㜶ぢ捡摤㠴散㘹㑦㈰愸㥢戸㈸㜲㌹㍦捣㌹㠹㑦㤴慣㤵慡㤸㌰㍣㘹〵昹扡ㅤㄷ㐳挲㑢㄰㘶㐸㝣摢挱挴挴扤㠷搰挴ㅣ㙤㜱㜷捡て㥢愴㡢㜰㌴戱㜰改搳㡢挳㠶㑡㐷㐵搶愵戵愹㝤〷慡攸ㄵ㉥愴搹㑡攴愹㤳㐹㔱扥摤慡敢づ㔳搷㠵〷ㄹ㠶晤㘳㈹㠵昸〳㈹㈴㜹㤰攱㠵〰㈹愵㑥愳愰摤㡡㉣㈵戲搶ㅡ攲愵㍦㘰㐷〸㠸晡愵扦㉥㍦㘲〱ㄴ㠱挵搸ㄷ摦敤㠹㤶戶㘸慣㥡ㄸ慡㤵㌶捤㍣ち昲昰挲㡡戱戸㜶〱㠵㌸㘹〷㔱摡戲㍢㡡㉦改户挳挰㕢挸搸㥡㑤㕦㕢搱扥换愹攱收〷昴㑣㕥㉡っ㘷㌷慢㜱㈰㤵㌱扡戰㙢㌱慣㘲㍥㄰ㄶ敢㠳㝡愳㈶攸㉣㘷㉦㑥愵〸晥昱㑢㈱戶㡦㌴愶扥扣戵㠵㍡捥改挱〶昹ぢ晢敢㥡ㄴ挶挶㕢挹㌱㤰戰㕢敡㔵〸慦㠷㥦挱㄰㙥㍡愳攸㡤愲㝣㔶づ攳㑦捣㔹㔹戵㑤晦㌳㝡㉤㌹敢㉣㐷㌳㡣摤愴晦敦㐷挵愶晡㕦㘱散㑤㈲昲㠱愸㈰㡤㔳挶㑦㌶つ搹㄰㈲昰㙣㈳㜸㈳て挶扡㉣㌲攴ㅤ㤶收昱昱㙡搸㉣㈵㌸晣㕥戹搶慢ㄱ昵戱戴㙤㝢㍢ち㐰挶㠶戴㘷㈱㠲㍡㡥㙦㤶㕢昱改㌶晦㍥っ摣㜳搲㉡㝢慥敦㥡挱昰㍣㠲扥挳晣昶捣㠴捤㌳慥㝣戳㔵愸㕤〷㐸昴㝤〰㘳㑥捤㐲㘰㥦ㄲ挱㙢ㄵ㡢㘴㘴㘱㙢㤱っ㝥㠷㌴㤸〸㉦㔱㍢昸㤷㤹昷搶㡣㉡㍥㕤㥤㠵慦㌳㘰搵戶㔰㜶愱挷戹昵㠶〶㐱㠷㍢㕡昷挰ㅦ㈴慡愳〸㡥挹㉤扣敦〳㠴㙢㉢っ㥡晢㐶㝢昳搹戳㍢㥦㕢㔱㝢〶㌸摤摡㕢㥡㐹㠶敦攴ㄷ挹㐵扤挴ㅣ㤷昶㡦攲敦搶ㅤ戴㥣㙤〸㜴ㅥ㝤搰㑤㐷搸㐸ㄵ敥戳㉤㐴扦捦㘱愸㌲捥っ扦扡ㄱㄵ昸愰搰换㐷㔶㔴扥㠶㙤㤱〱㔰捥攴换挸㍡㔳昵搳ㅢ㔱昵攰摤ㄸ㐳㝥搵〵戲晥慣挲愳〶愹戲愸㍣㠵晥㠴㕡戸晢㈵搶攱攸㈱㡦ㄴ㈸敢换挸攲愴昰㐸㈱搷昳㈵っ愸慦攷㐱搴㜶㕥捦㤳ㅢ慤㐷愱㌱㈰昷㥢㥣㝦㌰㔶㈶扡㡤㘶摤㘱收㌲㕢㐱㌶ㄸ敢㤴〱㡡㐹敥㈵ㅦ㠶ㅡ㝥㐸㑣㈱晤㉡晡㝢昱攸㑢㉦㌲晤昵愸㈲〵㈳㥡㥡㜷㐱挱㈸㜷昱搹攴㉥㝣搴㜶摥挵愷㌷摡挵㈰㘵愶㠴㙡つ〵㐰戵㠴㍦㜲㔷慢㈸㄰愰晣㔵捥㌱挳㙦搳㉡〶つ搴挸戱㙢㈸昴㘷㌵㈲收㕤㥤戵ぢ㡤挷昸㔳㔸〴〷㥡扥㜹扤ぢ摦戰慥㌳摡㥤挵㈷晣㥡㔴㠵㌹昵㥤摤捤ㄵ㥢愳搴㘴摡挷戱敢㔷㌱て㌷摤昰㌹㜲挶㝤昸㉤挰㜲㈴㤹㐹㤰㍣㡣㐲っ愸挱㤸ㄶ㌴愲㍦攵ㄳ㈷㘹㈵昲㍡㈸㍤㕡昹搰㈵㥤て㙤㠳㠲ㅤ昹愲户㠵㠴挴摥昸捤㜰㐷挵㤶敦昲㥥㠳昲搱㤸ㅣ㡦ㅦ㡦扦ㅦ㔳愳挸ㅢ搸㈱戴换挹㍥〴愴昲㜸摣昹扢摦㙢㌸㡥搱㠰〴㥥〹㍢㤳捤㘴攷挷攲捥〷昱㙤㥡散㤳㈱㘵㌱㕤㡣㍢㤳ㅤ㘵攷㡦挴㥤晦㜲㜰㙦扤㜳捣㝤攱捣ㅡ㔹㈳挵攲㤷㘷愰挴㜷敡〳攸慥㤹戴㈲㝡捤戰㥡ㄴ㈹〳攸㔵㘹㐷昴攱㑡㡣㠷㉦挵㘷㜰挳ぢㄷ㘱愰㙡挲晦㌰攲〴㙥㝥㑤ㄹ㠱㠱て挱㔷ㄱ㜲昷㜴昹挴挱㜹㜳搶㐳㐵㡦㜹挲挷挹戲戲慤㐸〴㐶㔱㉥㠴敦㈶愱㠹ㄴ〳扡〱㡦㌸㔴愸昲㈶㑤㜷㉡㔴㠶㤷㜲捡愳㌱㘶㌳㡦㌶㘸㐶晦㌰㤰〳攵㠰㥣〵晤㈳挸挳㜰ㄴ敦㙣㘷〶㈹昵愴㐸㝢㥣つㅦ㘵昶㌱㘴㐵㠵㈲㡥㜴㤰晦㌸戲㠱昸扦敢ㄸ㕥㤵㕥㈳㔵㔹㡢㕦㤶㈴㈳晤ㄳㅣ昰㐹㘴㔹㌸戱㤵㠸〸㡢晡愷㔰㤳㝣㈹㈵㠸㝣改㘷搸昰㔹㘶㥦㐳㔶搴戸搸㉤㐳㡤㝢敡㔲㝦㝦ㅥ㐳ㄵ㠲㠲㜳攸㕦㠸ち㝣㔰〸〷捡㜵挵挱づ㈹㑣愹㜶ち㙡㕥㈱㙣㘴㠳ㅤ㌵ㅣ㤱つ㡡㐲㜸挹㠶㙡搴㐰愵愶㍦㠹㑣㈱㍣戸㈷晤㡢㝣㈲ㄸ攴ぢ扦ㄴㄵ攴ぢ〹〳㌹㝣戹攵㠵㠴㡢㙣㔸㙡㜹㈱㘱㈵ㅢ捣攴ぢ扦挲㐹攵挶㔰㘸搶㕢摣愰㠴昷㔷㔱攸捦づ㜰㙤昷攱㔷㕤㔳捡攷㉡攷捥晤㜳㈰㌷扣㉦㜷晦㝢晢扥㝣昱㤷㝦㜸攲攵昷ㅦ昹昳扦㥥㝥晡攵㍦㍥昱攲扦㥥㕦㍣昲昳㘷㥥㜹攱敥慦扦昸㠷摤收㌷搴敦晤㜳收ㅢ㡦㡣㥤㝦攴㈱昳捣㉤挷ㅥ㜹攰挱㝢挷收㉥ㅢ挹㘶㝢㝡㙥ㅡ晡挵㔵㙦ㅢ㝣昴愱ㅦ㈸㍦昹捤㤵㡥㈲户㡢ㄷ㌴㉦㠳摢㤶换昸㍡ち㔸〶㔷晣扡㉥㠳摢㤵㠰㍡ㄷ〱㙡〲ㄵ搴㘵㕣㠰㙣㈸㌵㌷昴晥〷㍢〵扦㔶</t>
  </si>
  <si>
    <t>㜸〱敤㕣㕢㙣ㅣ㔷ㄹ摥㤹摤㔹敦慣敤搸㡤搳㑢㐲㘹㑤㑢㉦搴挱㡤搳㠴戶㐰〸扥㌴㠹㡢ㄳ扢戱㤳㔲ㄵ戴ㄹ敦㥥戱愷搹㤹㜱㘶㘶ㅤ扢㔴愲㐰㑢戹㤶㡢㔴㄰㔰㉥慡㄰ㄲ㉦㕣㕥㑡㑢㜹㐱㐲〲㤵㔶攲〱㈴㤰㤰㈸〸挱〳〸㈲昱挲〳ㄲ㝣摦㤹㤹摤搹㕤敦搸摤戶攰㈲ㅦ挷挷㘷捥㙤捥昹敦攷晦捦㈴愳㘴㌲㤹㝦㈳昱㉦㔳㡥㠵慢攷搷晤㐰搸愳㤳㙥戵㉡捡㠱攵㍡晥攸戸攷ㄹ敢㌳㤶ㅦ㘴搱㈱㕦戲搰敥㙢㈵摦㝡㔰ㄴ㑡慢挲昳搱㐹换㘴ち〵㕤㐵㍢㈷攱敦㘰晣愰㜳㔴㕦づ搹挲攴挴散攲〳㤸㜵㍥㜰㍤戱㝦昸㙣㌸昶挸搸搸㈸㝥づㅤ扡㘳昴挰晥攱挹㕡㌵愸㜹攲㠸㈳㙡㠱㘷㔴昷て捦搵ㄶ慢㔶昹㍤㘲㝤挱㍤㉦㥣㈳㘲昱挰㙤㡢挶愱㍢挶づㅤ㍥㙣摥㜹攷ㅤ㝤㜸㜵收搴攴挴㥣㈷㑣晦㔵㥡㔳攳㤲て㑤㠹戲挵扤〹攱㔹捥搲攸攴〴晥㈵搶㡦愷摢㐷攷㤷㠵〸昸㙡攱〹愷㉣㝣ㅤ〳㝢敤㜱摦慦搹㉢〴㥥㙥ㅦ挳㔶换㠶ㅦ㘸昶愴愸㔶㜵㍢㥥戵㘰捦〲㜶㔵㘳扤捦㥥ㄷ㡥㙦〵搶慡ㄵ慣攷敤〵㑣㔴改户捦昸攲戴攱㉣㠹㔳㠶㉤㌴晢㜸捤慡攴挲㤴挹摥ㄴ㑦㤱㕣㤸摣晥攸戸㙦㑦㉥ㅢ㥥㕣㤱㑦挰愴昴㍤收㤵㥢晢㕥摦㜹㕥㉥㕤扥㠱㜳摥搰戹ㅦ㕡捥ㅡ㕥扤攷㐸攷㥥搱收㥢㔷㜰㙢攷晥〹ㄸ㌵㡦㜹㑢攷㌱ㄲ㤴捤扤㤵摥㠸扥㈵㐴戱ㄹ㍤捦慣㠷㔹㠱ㄹㄱ愸ㄷ㤹昵㌲敢㐳愶攴晥〱㉥㐹づ㘴㤳㕡㌲搴搲愲㕡㉡慢愵㡡㕡ㄲ㙡挹㔴㑢㑢㙡㘹㔹㉤㔹㙡改〱戵㜴ㅥ㝤攲㔴攸改㔱愳㜴攱挲摦㥦㥢昹㕤㘶收㘳捦晦㝡扡挷晡昹㔳㝤扢搰改㥥㘸㔱㔳㥥㜱ㄱ愴搶愰攲㠳愳〷昸戳㌹㔷㠰㈹捣挳收敤收搸㔸攵昰〱攳㌶㐳攳戶㔲㤰摦㐴㈸㠳攸摢㘷摥㙢㌹ㄵ昷愲挴摤搵ㄳ㠶㉦ㅡ㠰ㅢ㠹摡㈶摣㥡㔳昱摦戰㜱攳㝣㘰〴㘲㕦㙢㕢㘳㤲戶㘱昳㘰㉢攱换昷㕤搳㍡散慣㔱慤㠹昱㌵㉢㙣㝥㘳㑢戳㍤攷戹㡢㥤㕢㡦㜹攲㐲扤戵㙤㐵攳㄰㙡慢㜲敥戶㕤㠶㑤攱扡㠶㈷㤷㕤㕦㌸㜲㜹㈳昶㥣㔵㍥㉦扣㜹㐱㤱㈸㉡㜲慢㤷戳㈹攲晡㤱㔹〷ㅢ〵户㔶慥㑢搶㥡㜷慤〵㘰㘶㔱挱㝡㔷㠴ㄷ慣㉦ㄸ㡢㔵㜱㐵㔳㤷昰㥤㘸搸摢㔴㝤捣㉤搷晣㐹搷〹㍣户摡摣㌲㕥㔹㌵㈰㘹㉡㈷摤㡡挸攵㌲㔲㈸㐰攰㘶戳㡡㤲戹愵㌳㉦㐸㐴㈴㔰㑣㐶扥慡㤹散㐶㑦㘳㜷搸㐵㔵㤰㈶搵㌷㙦㌲ㄹ搷㉢㘵㑣ち〷㈶昶㐴晤挱㤷摥扣挹戴㜵捣扤戶㥤㔵㜵㈸摡晤㕤慢挲〹㑥ㄸ㑥愵㉡扣㔴敤愷㜰㐵晡〰㌲敤ㄲ〴㐲㐷攸㔱搵㈹㙢捡扡㜶搱慡〴换昹㘵㘱㉤㉤〷愸㠳㠶㉣ㄴ〸摡戶愴㕦㠶㉡㝤㌷戳㈱㘴挵㘲㈶扦㠷㥤昲㐵愴㡣㐶改㤴挲换㑤㠲㥣攳㥡㜸戹捦㍣㘶㔵〳ㄱち攵〱ㄳㄸ〹戵㥡㐴㕦㍦㐹搴㌳捡愱挲搸㘳㑥㠲㑡つ换〹搶ㅢ㝣摢挶㈵㈱ㄱ敤挸㠲㙤㈷ぢ㈸ち㥡攵㐱ち慦㠱㘸㕡愴㐱㝡攷〴ㄱ㤱つ㔲㌴㍢㘶㙥㈶㌲昶㑦㤱ㄱ攸㥦㈴㐲昶㍥搰㔹㐶㤰搸摢㠹㤴㠳㍡昲攳㡥㌴摢挸㤶て愵搹攵〰㥣㝥〵戳㉢㤹㕤挵㙣㉦㌲攵㑦㤰㜰㤴㜲㈸㌷㈷晤つ㜸搶慦㘶昶㐶㘴㤰㑦㍡㘵㑥㈴慡㘸㐳㙤挵㡥㘴扦㝥搸挹搲㈸づ㐵ㄱ㉤攳扡㥤搹㙦㑢㐴㐷㔶攷昶搰戵㌹愹㘳㙦散㑣㥢挹敤㤰㈲㔳扡㈶昷扡㐹搷㈴㈰搸戵㑢扤㜵㉤㠶敡挳捣摥㠴慣愸㕦挷ㅣ捡㠵〶敦搶㉣㝡㥡㤴慦ぢ戳㈸㌴㠶扡㔴昰ㄱ㈱昳〸㤰㈲攴摡㡥㉦㍢㌶㌴捤挱ㄱ昳㜵㙦㐳敦敦捣摦ㄱ搲㕢昴收㡥摥愱扦攸㘵㕡搱搷㠳扤㤴摦㜶搴㌱㌷愰㔹扦㤱搹㑤挸㕡㜴っ㑦摦㉦搷㔳㈰捤㘲㍢㠱戹摤昴扡㐸㉢㜷㘱㝤㐵㐸つ搴㘷㉥ㄸ摥㤲〸攰挱㤸㥥㠲㉤散㝡㥥愸攲㔰㕢㤱ㄵ㍣扦㕣搹㕣改ㅦ昳㕣㥢昵㍢㌶戲晦扡㔰っ戹㥣㥡捤戴搸挸㈹戶㘶挲攷㤴愰ㅣ敡攰摢㍡ぢ㠹挴愰㘶昲攲戸昴昳攵㡥㈴改㐲㤲扣〵㘰搵㙦㐱〶㈹愱晣慡愳㐴搹捦㙥㙦㤵摤㥡㉤㔶㝡昸㔲㑥㈷㉤㍥挴㌶㌹搲ㅢ㍡㙣㈷攰㍦昰晢敤㜹换慥ぢ㡢㕥㝢㑥㜸㘵昸ㄶ慣慡㈸㠶㙥㔹㡡㥡ㅤ㔹昱㍡㤱ㄵ搹㙣摢㜹㍡挵扦㈶改愴㐵㑡愴㜲㝢㙡㘳捡㔹扣㐱㔴㜴㐳㔲愸愴戸㠶敡ㄲ㠸㤴挷扥㍢㈲愶ぢㄱ㜳㉢〰愷ㅦ㘰㌶挶散㈰㌲敤㐵㐸㥡慤〲㥥攱戰㥥㔵扡戴㑢愵㑣㠱㘸㤰㉥挲ㄷ㍡ち慢挳㝣捤摢㤸摤㡥慣挵晣愱〳㌲㠵㄰㈵捡ㄳ㠴㈸挳ㄸ收㔹㑢㕣㈴つ散㌲ㄱ㔸㥡慣昹㠱㙢㌳戲搴㙦㑥戹愷摣㘰捡昲㔷㄰㠹ㅡ㌲愳挲扤换挲〱㜵㜹戰㝤㕡敡摣㤵ㄵ㔱搱捤㜹户〶搱㌶㍤戵ㅤづ收〰〷㙣㐹㜹㌶㔷ㄵ愴敥捥挷㤸㐲〱愴愵扦㤵摥搸㉤㜹扦㜹攸ㅢ㘸㐰㜴挱ち慡愲搷っ㤹㡥攵㠲〹㈸㈲㜲㔰改㌱ㄷ㤶㍤㈱愶晡捤攳㥥㔵愹㕡㡥㈰㌲㘰㘳㌲㔸㌷㈳㤶㄰㈵㤸㜳ㄹ〳㜴㥤㝥㜳挱㌳ㅣ㝦挵㘰㐰㜱㝤㜷搳㤳っ㡢㘸收㠴攵昸㜸㡤挴㈲换〳收晣戲㝢ㄱㄱ摢㥡敤ㅣ㌷㔶晣㙤㠱ㄵㄲ㝤㤸㈴㙡ㄴ㔵㔱㔵愵愰ㄶ扡挵てて攴㤹っ㜹㉦挷㑣攲㉡愳搱㘷㥥愲扤㘹搷㐷㌱ㅡ摡改㕣㔳ㅦ愲㐷昵捡㙣慡ㄴ㈶愷敡㜷㜲捣摢㤱摤㝤晣捣㜴㈳㌲昷㡡㘲搶ㅡ扤晣㈹㌲㕥㤲㐵㍤㄰㐲ㅦ摤慥㤰㔴㔸㐷捡〱〷〲攳㝣㙡㈵扦愲㈹晢㤰晡㜶㌵㡡挷㄰㐹敡㌳㘷㡣㐵㔱㐵㍣摡㌶㠲㕤攱〳捤㔸摢愸晡㔱摢愴㙢摢〶㐹㡢㘴㌹㕦㌶㐸挱攳戵挰㍤㘹㌹扡㠹㑣搲㕦㔴㘵慣愱捡㔸㤳㔵㝤收㘹㠶〶㘵㤹㜳戹㑢㠶㘷〵换戶㔵㉥昰㠱攱扢㙤㐱㤳㘰㜲㑡摥㌸挵㌲㘳戸挵㥡㍦〳㤳捤ㅦ〵扡㐷㈱㐷〹㍡愲ㅦ㤴慢㉡㜹晣㈸㕤㍡㤶㈰㘰愴愷㔴㝦㈷㘶搳攴敤〸㠸ㅣ㤹㉥挵㜷㌰㉥㝤㄰㌵愱㄰㈲搶㔳㐸〴㕥挱㠴㤰愷㡢㍢㙦㥥㜱慣〰搸㈳挶㡥㔹挱㤴て㤴㈳㐳㔱ㅥ㙦昷㐹慣㈶〶㡤搴戵挲戵敤㑤㑤㙡攲㥡昶昶愴摥㜸昳〶捤愱㐶㐹㈸㤲捤㍡㐹捤戲挱ㅡ户㤳慡㔱愴攲㡥戵㡤㤲收㌶㙤挰㥤㔲攴ㄵ㈸㈶㐹㌳ㄹ晤㕤㤲㔰㄰攸㡤㜴ㄴ㝤昶改攴㤱㠸搸搰〶㈸㔲㑦㠵㜵晤㔱㐸㜰ㅡ搷㑥㉡愲ㄸ㍤㠱扦㜷㐵挵搹㕡搰搴㘲慣つ㐵㉤攳搵敡慣〳㉢愱㙣㜸㤵㙤挲搲搸㕢愸㘱㈴㜷㜶慢晤㐳昰㈶ㄸ㌱㘲㐳㠶㐵㔲晣挰㘰㐳㌰㔷㈲愲㑡敢慣㥦愰慥㔷ㄷ昸㜴㔲ㄸ㡥挴挰㝣㔰㤹ㄲ慢搲っ㙢㔸昲㐳㜲㐰晤戴㈸攵愸㙥㡥㉦晡㔰改〱攵㜸㔴㤲っ慥㥢愷改㤶挲㈵〶㠸摤愸㌴㔷づ㄰摡慤㑦挰㤳挱昶挱づ㈰ㄲ㠶㑥㘸㥤㔱㠲收㔳〸户㜹ㄳ攴㥤㉥㌱ち㐱㙡捡昴户愳捡㤷扦挴昴敤愳㤹戸㄰㌱ㄱ挳㕤㈹搶〳㤰㥢㡣㑣㤲㡢㠶攲㠰㜹㈸搹愴搰敡㡢敢㘸㘲昴搳攴昳〲摣攲㘱㉣㙢㠰㙣㔳挵㍤户挰㠲㌶慤慥敦㌲愷㥤㜲戵㔶ㄱ㔲ㄵ挷戲㕡㙡攴㙤㠱㉦㜹〵㌰攴愶ㄴ戸㐴㐰㤹挶㔱㡡㕢㈶㤲扡户扢昵愳ㄸ㉥㠵ㅣ收〸㔵ㅦ〳㤰㈹㙥㌹ㄹ㄰㙢扢愷㐰晢㜰㜷攳〲㠳扣㍣〷㤱搶㔶㐵㔹㌶㠳晢㜸昵㈸戲攴戶㐴户ㄹ㜷挶愵捤㥥愸㍡㘱㠵㔵摢〲㐷搸㘷㈸昰昲㜹ㄸ㈳㕤㜲〷㈷挹㕣㡡愲扢㤷㍥㈸ㅦ㌳㤷㠰ち㠹〱㠵㌱㕥㥥㠲㌲㠰㉡ㄸ㠹〶户摡戰扡ㄵ㐶㝦㘹㜹敢攳挸ㄴ㠶㠱㘹搰愲㘷㘸攰㑣愲扣戹㠱㜳㉤㝡愵㐴㐸㤳挱㔴挶㈸㠷攰戰〷搲挰㑤㍣㐸㉦戸㔰㐲挱ㅥ㜹㌱㉣扥㥢㌸㘲攳〸攴㝡㔷戴㔴捥ㄹ〱慥扦㌸㝢㕢慡挷㉢ㄵ㥡扢昰捦㙤ぢ慣攲敡㐶㘸㡥敥㘹戹㤴㈵昷㐴晢敥晡㤶㠶攸戲攰挱愹搱ㄳ㐶㔰㕥㥥て搶挳㡢㕢摤㤲㠴昶㈳昸㈳㌶㝣㍢㙤收㥣挳㡢愸慢㠴㝤昱扣攳㕥㜴攴扡㌴㥦户晥㐰㈱戸㐲搹挳㐵ㄶ㌳晦挶㡦㑣㙡㐶㝢づ㌳㙥㘵搹㥣愰攱㈰攱㍣㌲㠵搲㘰ㄸ攵ㄴ㍡㠱敤㕥扦㌵㐰㍡搹搳㐲㈷㔲㄰散㄰㡡戳昴慡ㄱ㡡昲㐳愰㤵挴ㄲㅥ挹〱昳㙦㠱昵㤵㘷㔱㐳㠴攳㌹ㄲ㈳摡㥢㔰㑡㐱㥤ㄴ攴搱ㄵて㕥〸昹晦挱㔲捣捤ㅢ戲搳㝦㠱㤹㤵㘷㕡㔱㜴つ㔱昴㠳㌶ㄴ㈹扣〶㈲昹昷敥愸挰〷㡤攱搹㤷ㄵ〸攷㥥㜶づ愰慦昹㠵摦晦攱〱㜴〶ㄸ㘶㤲㌶ㅡ㐲㙤㌷愰㕣㌷ㄱ戲㙤㈶〲㠳昷搲㐴㌸挹㌱㡣攲㠷㈶㐲攴〳㤹㐵挵收㈶〲㘳㝢㈹㠶㘰㈲搴㥡㜰㙢昰〴㜶㠵㑤晦搸〹㕣扣ㄵ㍥攲昹㔰㕡晥㈴㍣㔲㔷戶㔷捦ㄹ㥥㘱敦㤵昵挷㍤〱㘵收㉤攰㈶户ㅣ挲ㄱ晢㌶㙣㤱㠳㌶昰㔵挴㕥昶ㅤ㝦捡搶敥慦〳㔳㘱ち摤昷㑡㐱挹扦〲㑦㠹挲㜳㐳收〳㝢扥㜳晣昷て㍥㜲㤴户搵㈲㕡搵㙥㐱戹㥢㤰㍤敤〹〴㜵ㄳㄷ㐵㉥攷㠷㌹㈷昱㠹㤲戵㔲ㄵㄳ㠶㈷慤㈰㕦户攳㘲㐸㜸〹挲っ㠹㙦㍢㤸㤸戸昷㄰㥡㤸愳㉤敥㑥昹㘱㤳㜴ㄱ㡥㈶ㄶ㉥㝤㝡㜱搸㔰改愸挸扡戴㌶戵敦㐱ㄵ扤捣㠵㌴㕢㠹㍣㜵㌲㈹捡㜷㕢㜵摤㘱敡扡昰㈰挳戰㝦㉣愵㄰㝦㈰㠵㈴て㌲扣㄰㈰愵搴㘹ㄴ戴㕢㤱愵㐴搶㕡㐳扣昴〷散〸〱㔱扦昴搷攵㐷㉣㠰㈲戰ㄸ晢攲扢㍤搱搲ㄶ㡤㔵ㄳ㐳戵搲愶㤹㐷㐱ㅥ㕥㔸㌱ㄶ搷㉥愰㄰㈷敤㈰㑡㕢㜶㐷昱㈵晤㜶ㄸ㜸ぢㄹ㕢戳改㙢㉢摡㜷㌹㌵摣晣㠰㥥挹㑢㠵攱散㘶㌵づ愴㌲㐶ㄷ㜶㉤㠶㔵捣〷挲㘲㝤㔰㙦搴〴㥤攵散挵愹ㄴ挱㍦㝥㈹挴昶㤱挶搴㤷户戶㔰挷㌹㍤搸㈰㝦㘱㝦㕤㤳挲搸㜸㉢㌹〶ㄲ㜶㑢扤ち攱昵昰㌳ㄸ挲㑤㘷ㄴ扤㔱㤴捦捡㘱晣㠹㌹㉢慢戶改㝦㐶慦㈵㘷㥤攵㘸㠶戱㥢昴晦㝢㔱戱愹晥㔷ㄸ㝢㤳㠸扣㉦㉡㐸攳㤴昱㤳㑤㐳㌶㠴〸㍣摢〸摥挸㠳戱㉥㡢っ㜹㠷愵㜹㝣扣ㅡ㌶㑢〹づ扦㔷慥昵㙡㐴㝤㉣㙤摢摥㡥〲㤰戱㈱敤㕢㄰㐱ㅤ挷㌷换慤昸㜴㥢扦ㅦ〳昷㥣戴捡㥥敢扢㘶㌰㍣㡦愰敦㌰扦㍤㌳㘱昳㡣㉢摦㙣ㄵ㙡搷〳ㄲ㝤敦挷㤸㔳戳㄰搸愷㐴昰㙡挵㈲ㄹ㔹搸㕡㈴㠳摦㈱つ㈶挲㑢搴づ晥㘵收㍤㌵愳㡡㑦㔷㘷攱敢っ㔸戵㉤㤴㕤攸㜱㙥扤愱㐱搰攱㡥搶㝢攰てㄲ搵㔱〴挷攴ㄶ敥㝦㍦攱摡ち㠳收扥搱摥㝣昶散捥攷㔶搴㥥〲㑥户昶㤶㘶㤲攱㍢昹㐵㜲㔱㉦㌱挷愵晤愳昸扢㜵〷㉤㘷ㅢ〲㥤㐷ㅦ㜴搳ㄱ㌶㔲㠵晢㙣ぢ搱敦㜳ㄸ慡㡣㌳挳慦㙥㐴〵㍥㈸昴昲㤱ㄵ㤵慦㘱㕢㘴〰㤴㌳昹㌲戲捥㔴晤攴㐶㔴㍤㜸㌷挶㤰㕦㜵㠱慣㍦慢昰愸㐱慡㉣㉡㕦㐶㝦㐲㉤摣晤ㄲ敢㜰昴㤰㐷ち㤴昵㘵㘴㜱㔲㜸愴㤰敢昹㈲〶搴搷昳〰㙡㍢慦攷㠹㡤搶愳搰ㄸ㤰晢㑤捥㍦ㄸ㉢ㄳ摤㐶戳敥㌰㜳㤹慤㈰ㅢ㡣㜵捡〰挵㈴昷㤲て㐳つ捦ㄲ㔳㐸扦㠸晥扥㜴昴挵ㄷ㤸晥㝡㔴㤱㠲ㄱ㑤捤扢愰㘰㤴扢㜸㍣戹ぢㅦ戵㥤㜷昱愹㡤㜶㌱㐸㤹㈹愱㕡㐳〱㔰㉤攱㡦摣搵㉡ち〴㈸㝦㤵㜳捣昰摢戴㡡㐱〳㌵㜲散ㅡち晤㔹㡤㠸㜹㐷㘷敤㐲攳㌱晥ㄴㄶ挱㠱愶㙦㕥敦挲㌷慣敢㡣㜶㘷昱〹扦㈶㔵㘱㑥㝤㝢㜷㜳挵收㈸㌵㤹昶ㄸ㜶晤ち收攱愶ㅢ㍥㐷捥戸て扦〵㔸㡥㈴㌳〹㤲〷㔱㠸〱㌵ㄸ搳㠲㐶昴愷㝣攲㈴慤㐴㕥〷愵㐷㉢ㅦ扡愴昳愱㙤㔰戰㈳㕦昴戶㤰㤰搸ㅢ扦ㄹ敥愸搸昲㕤摥㜳㔰ㅥ㡤挹昱挴㠹昸晢㌱㌵㡡扣㠱ㅤ㐲扢㥣散㐳㐰㉡㡦挴㥤扦晦㜴挳㜱㡣〶㈴昰㑣搸㤹㙣㈶㍢㝦㈴敥㝣㄰摦愶挹㍥ㄹ㔲ㄶ搳㑢㜱㘷戲愳散晣攱戸昳㕦づ敥慤㜷㡥戹㉦㥣㔹㈳㙢愴㔸晣昲っ㤴昸㑥㝤〰摤㌵㤳㔶㐴慦ㄹ㔶㤳㈲㘵〰扤㉡敤㠸㍥㕣㠹昱昰愵昸っ㙥㜸攱㈲っ㔴㑤昸ㅦ㐶㑣攳收搷㤴ㄱㄸ昸㄰㝣ㄵ㈱㜷㑦㤷㑦ㅣ㥣㌷㘷㍤㔴昴㤸搳㍥㑥㤶㤵㙤㐵㈲㌰㡡㜲㈱㝣㌷〹㑤愴ㄸ搰つ㜸挴愱㐲㤵㌷㘹扡㔳愱㌲扣㤴㔳ㅥ㡥㌱㥢㜹戸㐱㌳晡㠷㠰ㅣ㈸〷攴㉣攸ㅦ㐶ㅥ㠶愳㜸㘷㍢㌳㐸愹㈷㐵摡㈳㙣㜸㤴搹㐷㤱ㄵㄵ㡡㌸搲㐱晥㌱㘴〳昱㝦搷㌱扣㉡扤㐶慡戲ㄶ扦㉣㐹㐶晡挷㌹攰ㄳ挸戲㜰㘲㉢ㄱㄱㄶ昵㑦愲㈶昹㔲㑡㄰昹搲㑦戳攱㜱㘶㥦㐱㔶搴戸搸㉤㐳㡤㝢敡㔲㝦㝦ㄶ㐳ㄵ㠲㠲㜳攸㥦㡢ち㝣㔰〸〷捡㜵挵挱づ㈹㑣愹㜶ち㙡㕥㈱㙣㘴㠳ㅤ㌵ㅣ㤱つ㡡㐲㜸挹㠶㙡搴㐰愵愶㍦㠱㑣㈱㍣戸㈷晤ぢ㝣㈲ㄸ攴ぢ扦ㄸㄵ攴ぢ〹〳㌹㝣戹攵㠵㠴㡢㙣㔸㙡㜹㈱㘱㈵ㅢ捣攴ぢ扦挲㐹攵挶㔰㘸搶㕢摣愰㠴昷㔷㔱攸捦づ㜰㙤昷攲㔷㕤㔳捡攷㉡攷捥晤㜳㈰㌷扣㉦昷摥㜷昷㝤改愵攷晦昰昹㕦扥敦挸㥦晦昵攴㤳扦晣攳攷㕦昸搷㡦ㄶ㡦晣昴愹愷㝥㜲昷搷㕦昸挳㙥昳ㅢ敡搳晦㥣昹挶㐳㘳攷ㅦ扡㘰㥥戹攵昸㐳昷㍤㜰捦搸摣㘵㈳搹㙣㑦捦㑤㐳㍦扢敡收挱㠷㉦㍣愳晣昸㌷㔷㍡㡡摣㉥㕥搰扣っ㙥㕢㉥攳敢㈸㘰ㄹ㕣昱㙢扡っ㙥㔷〲敡㕣〴愸〹㔴㔰㤷㜱〱戲愱搴摣搰晢ㅦ捥㤰扤捣</t>
  </si>
  <si>
    <t>㜸〱敤㕣㕢㙣ㅣ㔷ㄹ摥㤹摤㔹敦慣敤搸㡤㜳㘹搲㥢摢搲ㄶ敡攰挶㘹㐲㕢㈰〴㕦㥡㑢敢挴㙥散愴㐵㠰㌶攳摤㌳昶㌴㍢㌳敥捣慣㘳㤷㑡ㄴ㘸愹戸ㄵ㡡〴〸㈸㔰㔵愸㠸ㄷ㉥㉦摣㠵㠴㐰〲愱㔴攲〱ㅥ㤰㜸㈸〸挱〳〸㐵攲㠵〷愴昲㝤㘷㘶㜶㘷㜷扤㘳㜷摢㠲㡢㝣ㅣㅦ㥦㌹户㌹攷扦㥦晦㍦㤳㡣㤲挹㘴㕥㐶攲㕦愶ㅣぢ搷捥慤昹㠱戰㐷㈷摤㙡㔵㤴〳换㜵晣搱㜱捦㌳搶愶㉤㍦挸愲㐳扥㘴愱摤搷㑡扥昵愸㈸㤴㔶㠴攷愳㤳㤶挹ㄴち扡㡡㜶㑥挲摦挱昸㐱攷愸扥ㅣ戲昹挹㠹㤹㠵㠷㌱敢㕣攰㝡攲挰昰昹㜰散搱戱戱㔱晣ㅣ㍥㝣昷攸挱〳挳㤳戵㙡㔰昳挴㔱㐷搴〲捦愸ㅥㄸ㥥慤㉤㔴慤昲晤㘲㙤摥扤㈸㥣愳㘲攱攰㥤ぢ挶攱扢挷づㅦ㌹㘲摥㜳捦摤㝤㜸㜵收捣攴挴慣㈷㑣晦㌵㥡㔳攳㤲て㑦㠹戲挵扤〹攱㔹捥攲攸攴〴晥㈵搶㡦愷扢㐶攷㤶㠴〸昸㙡攱〹愷㉣㝣ㅤ〳㝢敤㜱摦慦搹换〴㥥㙥ㅦ挷㔶换㠶ㅦ㘸昶愴愸㔶㜵㍢㥥戵㘰捦〰㜶㔵㘳慤捦㥥ㄳ㡥㙦〵搶㡡ㄵ慣攵敤㜹㑣㔴改户捦昹攲慣攱㉣㡡㌳㠶㉤㌴晢㐴捤慡攴挲㤴挹摥ㄶ㑦㤱㕣㤸摣晥攸戸㙦㑦㉥ㄹ㥥㕣㤱㑦挰愴昴㍤敥㤵㥢晢摥摣㜹㕥㉥㕤扥㠱㜳摥搲戹ㅦ㕡捥ㅢ㕥扤攷㐸攷㥥搱收㥢㔷㜰㐷攷晥〹ㄸ㌵㡦㜹㑢攷㌱ㄲ㤴捤扤㤵摥㠸扥㈵㐴戱ㄹ㍤捦慣㠷㔹㠱ㄹㄱ愸ㄷ㤹昵㌲敢㐳愶攴晥〹㉥㐹づ㘴㤳㕡㌲搴搲㠲㕡㉡慢愵㡡㕡ㄲ㙡挹㔴㑢㡢㙡㘹㐹㉤㔹㙡改㘱戵㜴ㄱ㝤攲㔴攸改㔱愳昴捣㜵㠵㍤㥦扦攷昲攴㌷㝥㙥慡㈷㝥扡攷慦㝤㍢搰改㠱㘸㔱㔳㥥㜱〹愴搶愰攲㐳愳〷昹戳㌱㔷㠰㈹捣㈳收㕤收搸㔸攵挸㐱攳㑥㐳攳戶㔲㤰摦㐴㈸㠳攸摢㘷㍥㘸㌹ㄵ昷㤲挴摤戵ㄳ㠶㉦ㅡ㠰ㅢ㠹摡㈶摣㥡㔳昱慦㔹扦㜱㉥㌰〲戱扦戵慤㌱㐹摢戰㌹戰㤵昰攵晢慥㙦ㅤ㜶摥愸搶挴昸慡ㄵ㌶㕦搷搲㙣捦㝡敥㐲攷搶攳㥥㜸愴摥摡戶愲㜱〸戵ㄵ㌹㜷摢㉥挳愶㜰㕤挳㤳㑢慥㉦ㅣ戹扣ㄱ㝢搶㉡㕦ㄴ摥㥣愰㐸ㄴㄵ戹搵摤㙣㡡戸㝥㘴挶挱㐶挱慤㤵㥢㤲戵收扤慢〱㤸㔹㔴戰摥㘵攱〵㙢昳挶㐲㔵散㘹敡ㄲ扥ㄳつ晢㥡慡㡦扢攵㥡㍦改㍡㠱攷㔶㥢㕢挶㉢㉢〶㈴㑤攵戴㕢ㄱ戹㕣㐶ち〵〸摣㙣㔶㔱㌲户㜷收〵㠹㠸〴㡡挹挸㔷㌷㤳摤攸㔹散づ扢愸ち搲愴晡愶つ㈶攳㝡愵㡣㐹攱挰挴㥥愸㍦昸搲㌷㙦㌰㙤ㅤ㜳慦㙦㘷㔵ㅤ㡡㜶㝦敦㡡㜰㠲㤳㠶㔳愹ち㉦㔵晢㈹㕣㤱㍥㠰㑣扢〲㠱搰ㄱ㝡㔴㜵捡慡戲愶㕤戲㉡挱㔲㝥㐹㔸㡢㑢〱敡愰㈱ぢ〵㠲戶㉤改㔷愱㑡摦挹㙣〸㔹戱㤸挹敦㘲愷㝣ㄱ㈹愳㔱㍡愵昰㜲㤳㈰攷戸㈶㕥敥㌳㡦㕢搵㐰㠴㐲㜹挰〴㐶㐲慤㈶搱搷㑦ㄲ昵㡣㜲愸㌰㜶㤹㤳愰㔲挳㜲㠲戵〶摦戶㜱㐹㐸㐴摢戲㘰换挹〲㡡㠲㘶㜹㤰挲㙢㈰㥡ㄶ㘹㤰摥㌹㐱㐴㘴㠳ㄴ捤㡥㤹㥢㠹㡣晤㔳㘴〴晡㈷㠹㤰扤て㜶㤶ㄱ㈴昶㜶㈲攵愰㡥晣戸㉤捤搶戳攵㐳㘹戶ㅢ㠰搳昷㌰摢换散㙡㘶晢㤰㈹㝦㠱㠴愳㤴㐳戹㌹改搷攰㔹扦㤶搹㜵挸㈰㥦㜴捡㥣㐸㔴搱㠶摡㡣ㅤ挹㝥晤戰㤳愵㔱ㅣ㡡㈲㕡挶㜵㍢戳摦㤶㠸㡥慣捥慤愱㙢㜳㔲挷摥摡㤹㌶㤳摢㈱㐵愶㜴㑤敥㜵㠳慥㐹㐰戰㙢㤷㝡敢〶っ搵㠷㤹摤㠸慣愸摦挴ㅣ捡㠵〶敦收㉣㝡㥡㤴㙦〸戳㈸㌴㠶扡㔴昰ㄱ㈱昳〸㤰㈲攴摡㡥㉦摢㌶㌴捤挱ㄱ昳つ㙦㐳ㅦ攸捣摦ㄱ搲㕢昴收戶摥愱扦攸ㄵ㕡搱㌷㠳扤㤴㍦㜴搴㌱户愰㔹扦㤵搹㙤挸㕡㜴っ㑦摦慦搴㔳㈰捤㘲㍢㠱戹㥤昴扡㐸㉢㜷㝥㙤㔹㐸つ搴㘷捥ㅢ摥愲〸攰挱㌸㌵〵㕢搸昵㍣㔱挵愱戶㈲㉢㜸㝥搹摢㕣改ㅦ昷㕣㥢昵摢㌶戲晦㠶㔰っ戹㥣㥡捤戴搸挸㈹戶㘶挲攷㤴愰ㅣ敡攰㍢㍢ぢ㠹挴愰㘶昲攲戸昴昳攵戶㈴改㐲㤲扣〵㘰搵㙦㐷〶㈹愱晣慥愳㐴㌹挰㙥㙦㤵摤㥡㉤㔶㝡昸㔲㑥㈷㉤㍥挴㌶㌹搲ㅢ㍡㙣㈷攰㍦昰晢敤㌹换慥ぢ㡢㕥㝢㔶㜸㘵昸ㄶ慣慡㈸㠶㙥㔹㡡㥡㙤㔹昱〶㤱ㄵ搹㙣摢㜹㍡挵扦㈶改愴㐵㑡愴㜲㝢㙡㘳捡㔹扣㐱㔴㜴㐳㔲愸愴戸㠶敡ㄲ㠸㤴挷扥摢㈲愶ぢㄱ㜳〷〰愷ㅦ㘴㌶挶散㄰㌲敤㐵㐸㥡捤〲㥥攱戰㥥ㄵ扡戴㑢愵㑣㠱㘸㤰㉥挲换ㅤ㠵搵ㄱ扥收㙤捣敥㐲搶㘲晥搰〱㤹㐲㠸ㄲ攵〹㐲㤴㘱っ昳扣㈵㉥㤱〶㜶㤸〸㉣㑤搶晣挰戵ㄹ㔹敡㌷愷摣㌳㙥㌰㘵昹换㠸㐴つ㤹㔱攱挱㈵攱㠰扡㍣搸㍥㉤㜵敥昲戲愸攸收㥣㕢㠳㘸㍢㌵戵ㄵづ收〰〷㙣㐹㜹㌶㔷ㄵ愴敥捥挷㤸㐲〱愴愵扦㤵摥搸㑤㜹扦㜹攸ㅢ㘸㐰㜴摥ち慡愲搷っ㤹㡥攵㠲〹㈸㈲㜲㔰改㌱攷㤷㍣㈱愶晡捤ㄳ㥥㔵愹㕡㡥㈰㌲㘰㘳㌲㔸㌷㉤ㄶㄱ㈵㤸㜵ㄹ〳㜴㥤㝥㜳摥㌳ㅣ㝦搹㘰㐰㜱㙤㘷搳㤳っ㡢㘸收㠴攵昸㜸㡤挴㈲换〳收摣㤲㝢〹ㄱ摢㥡敤㥣㌰㤶晤㉤㠱ㄵㄲ㝤㤸㈴㙡ㄴ㔵㔱㔵愵愰ㄶ扡挵てて攴㤹っ㜹㉦挷㑣攲㉡愳搱㘷㥥愲扤㘹搷㐷㌱ㅡ摡改㕣㔳ㅦ愲㐷昵捡㙣慡ㄴ㈶愷敡昷㜰捣摢㤱摤㜷攲摣愹㐶㘴敥㔵挵慣㌵㝡昹㔳㘴扣㈴㡢㝡㈰㠴㍥扡ㅤ㈱愹戰㡥㤴〳づ〴挶昹搴㑡㝥㐵㔳昶㈱昵敤㘸ㄴ㡦㈳㤲搴㘷㑥ㅢぢ愲㡡㜸戴㙤〴㍢挲〷㥡戱戶㔱昵愳戶㐹搷戶つ㤲ㄶ挹㜲慥㙣㤰㠲挷㙢㠱㝢摡㜲㜴ㄳ㤹愴扦愸捡㔸㐵㤵戱㉡慢晡捣戳っつ捡㌲攷㜲ㄷつ捦ち㤶㙣慢㕣攰〳挳㜷㕢㠲㈶挱攴㤴扣㜱㡡㘵挶㜰㡢㌵㝦づ㈶㥢㍦ち㜴㡦㐲㡥ㄲ㜴㐴㍦㈸㔷㔵昲昸㔱扡㜴㉣㐱挰㐸㑦愹晥㑥捣愶挹摢ㄱ㄰㌹㌲㕤㠹敦㘰㕣昹㈰㙡㐲㈱㐴慣愷㤰〸扣㠲〹㈱㑦ㄷ㜷摥㍣攷㔸〱戰㐷㡣ㅤ户㠲㈹ㅦ㈸㐷㠶愲㍣摥敥㤷㔸㑤っㅡ愹㙢㠵ㅢ摡㥢㥡搴挴昵敤敤㐹扤昱愶㜵㥡㐳㡤㤲㔰㈴ㅢ㜵㤲㥡㘵㥤㌵㙥㈵㔵愳㐸挵ㅤ㙢ㅢ㈵捤㙤摡㠰㍢愵挸慢㔰㑣㤲㘶㌲晡扢㈴愱㈰搰ㅢ改㈸晡散搳挹㈳ㄱ戱愱つ㔰愴㥥ち敢晡愳㤰攰㈹㕣㍢愹㠸㘲昴〴晥摥ㄱㄵ㘷㙡㐱㔳㡢戱㍡ㄴ戵㡣㔷慢㌳づ慣㠴戲攱㔵戶〸㑢㘳㙦愱㠶㤱摣搹慤昶て挱㥢㘰挴㠸つㄹㄶ㐹昱〳㠳つ挱㕣㠹㠸㉡慤戳㝥㠲扡㕥㕤攰搳㘹㘱㌸ㄲ〳㜳㐱㘵㑡慣㐸㌳慣㘱挹て挹〱昵搳愲㤴愳扡㌹扥攰㐳愵〷㤴攳㔱㐹㌲戸㙥㥥愵㕢ち㤷ㄸ㈰㜶愳搲㙣㌹㐰㘸户㍥〱㑦〶㕢〷㍢㠰㐸ㄸ㍡愱㜵㐶〹㥡㑦㈱摣收㑤㤰㜷扡挴㈸〴愹㈹搳㍦㡥㈹㕦晡㈲搳㌷㡦㘵攲㐲挴㐴っ㜷愵㔸て㐰㙥㌲㌲㐹㉥ㅡ㡡〳收愱㘴㤳㐲慢㉦慥愳㠹搱㑦㤳捦ぢ㜰㡢㠷戱慣〱戲㑤ㄵ昷摣〲ぢ摡戴扡戶挳㍣攵㤴慢戵㡡㤰慡㌸㤶搵㔲㈳㙦〹㝣挹㉢㠰㈱㌷愵挰㈵〲捡㈹ㅣ愵戸㘵㈲愹㝢扢㕢㍦㠶攱㔲挸㘱㡥㔰昵㌱〰㤹攲㤶㤳〱戱戶㝢ち戴て㜷㌶㉥㌰挸换㜳㄰㘹㙤㔵㤴㘵搳戸㡦㔷㡦㈲㑢㙥㑢㜴㥢㜶愷㕤摡散㠹慡㤳㔶㔸戵㈵㜰㠴㝤㠶〲㉦㥦㠷㌱搲㈵㜷㜰㤲捣㤵㈸扡㝢攵㠳昲㌱㜳〵愸㤰ㄸ㔰ㄸ攳攵㈹㈸〳愸㠲㤱㘸㜰慢つ慢㕢㘱昴㤷㤶户㍥㡥㑣㘱ㄸ㤸〶㉤㝡㠶〶捥㈴捡ㅢㅢ㌸㌷愰㔷㑡㠴㌴ㄹ㑣㘵㡣㜲〸づ㝢㈰つ摣挴㠳昴扣ぢ㈵ㄴ散㤲ㄷ挳攲扢㠹㈳㌶㡥㐰慥户愷愵㜲搶〸㜰晤挵搹搷㔲㍤㕥愹搰摣㠵㝦㙥㑢㘰ㄵ㔷㌷㐲㜳㜴㔷换愵㉣戹㈷摡㜷㌷户㌴㐴㤷〵て㑤㡤㥥㌴㠲昲搲㕣戰ㄶ㕥摣敡㤶㈴戴㥦挰ㅦ戱敥摢㘹㌳攷ㅣ㕥㐴㕤㈱散㡢ㄷㅤ昷㤲㈳搷愵昹扣昵〷ち挱ㄵ捡ㅥ㉥戲㤸㜹ㄹ㍦㌲愹ㄹ敤挷㤸㜱㌳换收〴つ〷〹攷㤱㈹㤴〶挳㈸愷搰〹㙣昷晡慤〱搲挹慥ㄶ㍡㤱㠲㘰㥢㔰㥣挵搷㡣㔰㤴ㅦ〱慤㈴㤶昰㐸づ㤸扦〰搶㔷㝥㠸ㅡ㈲ㅣ捦㤱ㄸ搱㙥㐴㈹〵㜵㔲㤰㐷㔷㍣㜸㈱攴晦〷㑢㌱㌷慦换㑥晦〵㘶㔶㝥搰㡡愲敢㠹愲敦户愱㐸攱㌵㄰挹扦昷㐵〵㍥㘸っ捦扥愲㐰㌸昷戴㝤〰㝤摤㉦晣晥てて愰搳挰㌰㤳戴搱㄰㙡扢〵攵扡㠹㤰㙤㌳ㄱㄸ扣㤷㈶挲㘹㡥㘱ㄴ㍦㌴ㄱ㈲ㅦ挸っ㉡㌶㌶ㄱㄸ摢㑢㌱〴ㄳ愱搶㠴㕢㠳㈷戰㍤㌶晤㘳㈷㜱昱㔶昸㠸攷㐳㘹昹㤳昰㐸敤㙤慦㥥㌵㍣挳摥㈷敢㑦㜸〲捡捣㥢挷㑤㙥㌹㠴㈳昶慦摢㈲〷慤攳慢㠸扤散摢晥㤴捤摤㕦〷愶挲ㄴ扡敦㤵㠲㤲㝦ㄵ㥥ㄲ㠵攷㠶捣〷㜶㝤敢挴ㅦㅦ㝤攲ㄸ㙦慢㐵戴慡摤㡥㜲㌷㈱㝢摡ㄳ〸敡㈶㉥㡡散收㠷㌹愷昱㠹㤲戵㕣ㄵㄳ㠶㈷慤㈰㕦户攳㘲㐸㜸〹挲っ㠹㙦㉢㤸㤸戸昷㄰㥡㤸愳㉤敥㑥昹㘱㤳㜴ㄱ㡥㈶ㄶ㉥㝤㝡㜱搸㔰改愸挸扡戴㌶戵敦㐰ㄵ扤挲㠵㌴㕢㠹㍣㜵㌲㈹捡户㕢㜵摤ㄱ敡扡昰㈰挳戰㝦㉣愵㄰㝦㈰㠵㈴て㌲扣㄰㈰愵搴㔹ㄴ戴㍢㤰愵㐴搶㕡㐳扣昴〷㙣ぢ〱㔱扦昴搷攵㐷㉣㠰㈲戰ㄸ晢攲扢㍤搱搲ㄶ㡤㔵ㄳ㐳戵搲愶㤹㐳㐱ㅥ㕥㔸㌱ㄶ搷捥愳㄰㈷敤㄰㑡㥢㜶㐷昱㈵晤㜶ㄸ㜸ぢㄹ㕢戳改㙢㉢摡昷㍡㌵摣晣㠰㥥挹㑢㠵攱散㘴㌵づ愴㌲㐶ㄷ㜶㉤㠶㔵捣〷挲㘲㝤㔰㙦搴〴㥤攵散挳愹ㄴ挱㍦㝥㈹挴昶㤱挶搴扢㕢㕢愸攳㥣ㅥ㙣㤰扦戰扦慥㑦㘱㙣扣㤵ㅣ〳〹扢愹㕥㠵昰㝡昸㌹っ攱愶㌳㡡摥㈸捡㘷攵〸晥挴㥣㤵㔵摢昴㍦愳搷㤲戳捥㜳㌴挳搸㑤晡晦㈱㔴㙣愸晦ㄵ挶摥㈴㈲摦ㄳㄵ愴㜱捡昸挹㠶㈱ㅢ㐲〴㥥㙤〴㙦攴挱㔸㤷㐵㠶扣挳搲ㅣ㍥㕥つ㥢愵〴㠷摦㉢搷㝡㌵愲㍥㤶戶㙤㙦㐷〱挸搸㤰昶〲㐴㔰挷昱捤㜲㉢㍥摤收摦㡢㠱扢㑥㕢㘵捦昵㕤㌳ㄸ㥥㐳搰㜷㤸摦㥥㤹戰㜹挶㤵慦户ち戵㥢〱㠹扥昷㘳捣㤹ㄹ〸散㌳㈲㜸慤㘲㤱㡣㉣㙣㉥㤲挱敦㤰〶ㄳ攱㈵㙡〷晦㉡昳㠱㥡㔱挵愷慢㌳昰㜵〶慣摡ㄲ捡㉥昴㌸户摥搰㈰攸㜰㐷敢㝥昸㠳㐴㜵ㄴ挱㌱戹㠵昷扥㥦㜰㙤㠵㐱㜳摦㘸㙦㍥㝢㜶攷㜳㉢㙡捦〳愷㥢㝢㑢㌳挹昰㥤晣㈲戹愸㤷㤸攳搲晥㌱晣摤扣㠳㤶戳つ㠱捥愳て扡改〸ㅢ愹挲㝤戶㠹攸昷〵っ㔵挶㤹攱㔷㌷愲〲ㅦㄴ㝡昹挸㡡捡㔷戱㉤㌲〰捡㤹㝣ㄹ㔹㘷慡㝥㜶㍤慡ㅥ扣て㘳挸慦扡㐰搶㥦㔵㜸搴㈰㔵ㄶ㤵㉦愱㍦愱ㄶ敥㝥㤱㜵㌸㝡挸㈳〵捡晡ㄲ戲㌸㈹㍣㔲挸昵㝣〱〳敡敢㜹ㄸ戵㥤搷昳戹昵搶愳搰ㄸ㤰晢㑤捥㍦ㄸ㉢ㄳ摤㐶戳敥㌰㜳㤹㉤㈳ㅢ㡣㜵捡〰挵㈴昷㤲て㐳つ㍦㈴愶㤰㝥ㄳ晤㝤改搸㡢㤷㤹晥㝥㑣㤱㠲ㄱ㑤捤扢愰㘰㤴扢㜸㍡戹ぢㅦ戵㥤㜷昱挹昵㜶㌱㐸㤹㈹愱㕡㐳〱㔰㉤攱㡦摣搵ちち〴㈸㝦㤵ぢ捣昰摢戴㡡㐱〳㌵㜲散㉡ち晤㔹㡤㠸㜹㐷㘷敤㐲攳㌱晥ㄴㄶ挱㠱愶㙦㕥敦挵㌷慣㙢㡣㜶㘷昱〹扦㈶㔵㘱㑥㝤㝢㜷㜳挵收㈸㌵㤹昶ㄴ㜶晤㉡收攱愶ㅢ㍥㐷捥戸ㅦ扦〵㔸㡥㈴㌳〹㤲㐷㔱㠸〱㌵ㄸ搳㠲㐶昴愷㝣攲㈴慤㐴㕥〷愵㐷㉢ㅦ扡愴昳愱㙤㔰戰㈳㕦昴㤶㤰㤰搸ㅢ扦ㄹ敥愸搸昲㕤摥㜳㔰㥥㡣挹昱攴挹昸晢㌱㌵㡡扣㠱ㅤ㐲扢㥣散㐳㐰㉡㑦挴㥤扦晢扤㠶攳ㄸつ㐸攰㤹戰㌳搹㑣㜶晥㐸摣昹㄰扥㑤㤳㝤㌲愴㉣愶㤷攲捥㘴㐷搹昹挳㜱攷扦ㅤ摡㔷敦ㅣ㜳㕦㌸戳㐶搶㐸戱昸攵ㄹ㈸昱㥤晡〰扡㙢㈶慤㠸㕥㌳慣㈶㐵捡〰㝡㔵摡ㄱ㝤戸ㄲ攳攱㑢昱㘹摣昰挲㐵ㄸ愸㥡昰㍦㡣㌸㠵㥢㕦㔳㐶㘰攰㐳昰ㄵ㠴摣㍤㕤㍥㜱㜰摥㥣昱㔰搱㘳㥥昲㜱戲慣㙣㈹ㄲ㠱㔱㤴ぢ攱扢㐱㘸㈲挵㠰㙥挰㈳づㄵ慡扣㐹搳㥤ち㤵攱愵㥣昲㜸㡣搹捣攳つ㥡搱㍦〴攴㐰㌹㈰㘷㐱晦㌰昲㌰ㅣ挵㍢摢㤹㐱㑡㍤㈹搲㥥㘰挳㤳捣㍥㡡慣愸㔰挴㤱づ昲㑦㈱ㅢ㠸晦扢㡥攱ㄵ改㌵㔲㤵搵昸㘵㐹㌲搲㍦挶〱ㅦ㐷㤶㠵ㄳ㕢㠹㠸戰愸㝦〲㌵挹㤷㔲㠲挸㤷㝥㡡つ㑦㌳晢㌴戲愲挶挵㙥ㅡ㙡摣㔳㤷晡晢㌳ㄸ慡㄰ㄴ㥣㐳㝦㈶㉡昰㐱㈱ㅣ㈸搷ㄵ〷㍢愴㌰愵摡㈹愸㜹㠵戰㤱つ㜶搴㜰㔴㌶㈸ち攱㈵ㅢ慡㔱〳㤵㥡晥㌹㘴ち攱挱㍤改㥦攷ㄳ挱㈰㕦昸㠵愸㈰㕦㐸ㄸ挸攱㑢㉤㉦㈴㕣㘴挳㘲换ぢ〹㉢搹㘰㈶㕦昸㘵㑥㉡㌷㠶㐲戳摥攲〶㈵扣扦㠲㐲㝦㜶㠰㙢㝢㄰扦敡慡㔲扥㔰戹㜰攱㕦〳戹攱晤戹㠷摥摤昷挵㤷㝥晤愷捦晥昶㝤㐷晦晡敦㘷㥦晤敤㥦㍦㝢昹摦㍦㔹㌸晡换攷㥦晦挵㝤㕦扢晣愷㥤收㜳敡昷晥㌵晤摣㘳㘳ㄷㅦ㝢挴㍣㜷晢㠹挷摥昳昰〳㘳戳㔷㡤㘴戳㍤㍤户つ晤敡敡㌷て㍥晥挸て㤴㥦晤㝥慦愳挸敤攲〵捤换攰戶攵㌲扥㠶〲㤶挱ㄵ扦慥换攰㜶㈵愰㉥㐴㠰㥡㐰〵㜵ㄹㄷ㈰ㅢ㑡捤つ扤晦〱㐱〵扢昷</t>
  </si>
  <si>
    <t>㜸〱敤㕣㕢㙣ㅣ㔷ㄹ摥㤹摤㔹敦慣敤搸㡤搳愶〹愵㌵戴愵戴づ㙥㥣㈶戴〵㐲昰愵㑥搲㍡戱ㅢ㍢㈹愸愰捤㜸昷㡣㍤挹捥㡣㍢㌳敢搸愵ㄲ〵ちㄵ昷㡢〴㠸㔲㘸㔵愱㑡扣㜰ㄱㄲ戴㠰㤰㤰㤰㐰愸㐸㍣挰〳ㄲて㉤㈰㜸〰愱㐸昰搰㠷㑡昰㝤㘷㘶㜶㘷㜷扤㘳㜷摢㠲㡢㝣ㅣㅦ㥦㌹户㌹攷扦㥦晦㍦㤳㡣㤲挹㘴晥㡤挴扦㑣㌹ㄶ慥㤹㕦昷〳㘱㡦㑥扡搵慡㈸〷㤶敢昸愳攳㥥㘷慣捦㔸㝥㤰㐵㠷㝣挹㐲扢慦㤵㝣敢㐱㔱㈸慤ち捦㐷㈷㉤㤳㈹ㄴ㜴ㄵ敤㥣㠴扦㠳昱㠳捥㔱㝤㌹㘴ぢ㤳ㄳ戳㡢ㄷ㌰敢㝣攰㝡攲挰昰戹㜰散搱戱戱㔱晣ㅣ㍥㝣挷攸挱〳挳㤳戵㙡㔰昳挴㔱㐷搴〲捦愸ㅥㄸ㥥慢㉤㔶慤昲㍤㘲㝤挱扤㈸㥣愳㘲昱攰㙤㡢挶攱㍢挶づㅦ㌹㘲摥㜹攷ㅤ㝤㜸㜵收昴攴挴㥣㈷㑣晦㔵㥡㔳攳㤲て㑦㠹戲挵扤〹攱㔹捥搲攸攴〴晥㈵搶㡦愷摢㐷攷㤷㠵〸昸㙡攱〹愷㉣㝣ㅤ〳㝢敤㜱摦慦搹㉢〴㥥㙥㑦㘳慢㘵挳て㌴㝢㔲㔴慢扡ㅤ捦㕡戰㘷〱扢慡戱摥㘷捦ぢ挷户〲㙢搵ち搶昳昶〲㈶慡昴摢㘷㝤㜱挶㜰㤶挴㘹挳ㄶ㥡㝤扣㘶㔵㜲㘱捡㘴㙦㡡愷㐸㉥㑣㙥㝦㜴摣户㈷㤷つ㑦慥挸㈷㘰㔲晡㑥㝢攵收扥搷㜷㥥㤷㑢㤷㙦攰㥣㌷㜶敥㠷㤶㜳㠶㔷敦㌹搲戹㘷戴昹收ㄵ摣摡戹㝦〲㐶捤㘳㙥敥㍣㐶㠲戲戹户搲ㅢ搱户㠴㈸㌶愳攷㤹昵㌰㉢㌰㈳〲昵㈲戳㕥㘶㝤挸㤴摣㍦挱㈵挹㠱㙣㔲㑢㠶㕡㕡㔴㑢㘵戵㔴㔱㑢㐲㉤㤹㙡㘹㐹㉤㉤慢㈵㑢㉤㕤㔰㑢ㄷ搱㈷㑥㠵㥥ㅥ㌵㑡ㄷ晥昴慦慢㝢ち户㑥晦戴昴晤ㄷ㙥㝥㜴㙦搰户ぢ㥤敥㡤ㄶ㌵攵ㄹ㤷㐰㙡つ㉡㍥㌴㝡㤰㍦㥢㜳〵㤸挲㍣㘲摥㙥㡥㡤㔵㡥ㅣ㌴㙥㌳㌴㙥㉢〵昹㑤㠴㌲㠸扥㝤收㝤㤶㔳㜱㉦㐹摣㕤㌳㘱昸愲〱戸㤱愸㙤挲慤㌹ㄵ晦つㅢ㌷捥〷㐶㈰昶户戶㌵㈶㘹ㅢ㌶て戶ㄲ扥㝣摦戵慤挳捥ㄹ搵㥡ㄸ㕦戳挲收㌷戶㌴摢㜳㥥扢搸戹㜵摡ㄳて搴㕢摢㔶㌴づ愱戶㉡攷㙥摢㘵搸ㄴ慥㙢㜸㜲搹昵㠵㈳㤷㌷㘲捦㔹攵㡢挲㥢ㄷㄴ㠹愲㈲户㝡㈵㥢㈲慥ㅦ㤹㜵戰㔱㜰㙢攵捤挹㕡昳慥戵〰捣㉣㉡㔸敦㡡昰㠲昵〵㘳戱㉡慥㙡敡ㄲ扥ㄳつ晢㥡慡愷摤㜲捤㥦㜴㥤挰㜳慢捤㉤攳㤵㔵〳㤲愶㜲捡慤㠸㕣㉥㈳㠵〲〴㙥㌶慢㈸㤹㕢㍡昳㠲㐴㐴〲挵㘴攴慢㥢挹㙥昴っ㜶㠷㕤㔴〵㘹㔲扤㘱㤳挹戸㕥㈹㘳㔲㌸㌰戱㈷敡て扥昴慤㥢㑣㕢挷摣㙢摢㔹㔵㠷愲摤摦戵㉡㥣攰㠴攱㔴慡挲㑢搵㝥ち㔷愴て㈰搳㉥㐳㈰㜴㠴ㅥ㔵㥤戲愶慣㙢㤷慣㑡戰㥣㕦ㄶ搶搲㜲㠰㍡㘸挸㐲㠱愰㙤㑢晡ㄵ愸搲㜷㌳ㅢ㐲㔶㉣㘶昲㝢搸㈹㕦㐴捡㘸㤴㑥㈹扣摣㈴挸㌹慥㠹㤷晢捣㘹慢ㅡ㠸㔰㈸て㤸挰㐸愸搵㈴晡晡㐹愲㥥㔱づㄵ挶ㅥ㜳ㄲ㔴㙡㔸㑥戰摥攰摢㌶㉥〹㠹㘸㐷ㄶ㙣㍢㔹㐰㔱搰㉣て㔲㜸つ㐴搳㈲つ搲㍢㈷㠸㠸㙣㤰愲搹㌱㜳㌳㤱戱㝦㡡㡣㐰晦㈴ㄱ戲昷挱捥㌲㠲挴摥㑥愴ㅣ搴㤱ㅦ㜷愴搹㐶戶㝣㈸捤慥〴攰昴慢㤸敤㘵㜶㌵戳㝤挸㤴扦㐰挲㔱捡愱摣㥣昴㌷攰㔹扦㠶搹ㅢ㤱㐱㍥改㤴㌹㤱愸愲つ戵ㄵ㍢㤲晤晡㘱㈷㑢愳㌸ㄴ㐵戴㡣敢㜶㘶扦㉤ㄱㅤ㔹㥤摢㐳搷收愴㡥㝤㑢㘷摡㑣㙥㠷ㄴ㤹搲㌵戹搷㑤扡㈶〱挱慥㕤敡慤敢㌰㔴ㅦ㘶昶㈶㘴㐵晤捤捣愱㕣㘸昰㙥捤愲愷㐹昹扡㌰㡢㐲㘳愸㑢〵ㅦㄱ㌲㡦〰㈹㐲慥敤昸戲㘳㐳搳ㅣㅣ㌱㕦昷㌶昴㠱捥晣ㅤ㈱扤㐵㙦敥攸ㅤ晡㡢㕥愶ㄵ㝤㍤搸㑢昹㐳㐷ㅤ㜳㈳㥡昵户㌰扢〹㔹㡢㡥攱改晢攵㝡ち愴㔹㙣㈷㌰户㥢㕥ㄷ㘹攵㉥慣慦〸愹㠱晡捣〵挳㕢ㄲ〱㍣ㄸ㈷愷㘰ぢ扢㥥㈷慡㌸搴㔶㘴〵捦㉦㝢㥢㉢晤㘹捦戵㔹扦㘳㈳晢慦ぢ挵㤰换愹搹㑣㡢㡤㥣㘲㙢㈶㝣㑥〹捡愱づ扥慤戳㤰㐸っ㙡㈶㉦㡥㑢㍦㕦敥㐸㤲㉥㈴挹捤〰慢㝥ぢ㌲㐸〹攵㜷ㅤ㈵捡〱㜶㝢㥢散搶㙣戱搲挳㤷㜲㍡㘹昱㈱戶挹㤱摥搰㘱㍢〱晦㠱摦㙦捦㕢㜶㕤㔸昴摡㜳挲㉢挳户㘰㔵㐵㌱㜴换㔲搴散挸㡡搷㠹慣挸㘶摢捥搳㈹晥㌵㐹㈷㉤㔲㈲㤵摢㔳ㅢ㔳捥攲つ愲愲ㅢ㤲㐲㈵挵㌵㔴㤷㐰愴㍣昶摤ㄱ㌱㕤㠸㤸㕢〱㌸晤㈰戳㌱㘶㠷㤰㘹扦㠶愴搹㉡攰ㄹづ敢㔹愵㑢扢㔴捡ㄴ㠸〶改㈲㝣慥愳戰㍡挲搷扣㥤搹敤挸㕡捣ㅦ㍡㈰㔳〸㔱愲㍣㐱㠸㌲㡣㘱㥥戳挴㈵搲挰㉥ㄳ㠱愵挹㥡ㅦ戸㌶㈳㑢晤收㤴㝢摡つ愶㉣㝦〵㤱愸㈱㌳㉡摣户㉣ㅣ㔰㤷〷摢愷愵捥㕤㔹ㄱㄵ摤㥣㜷㙢㄰㙤㈷愷戶挳挱ㅣ攰㠰㉤㈹捦收慡㠲搴摤昹ㄸ㔳㈸㠰戴昴户搲ㅢ扢㈵敦㌷て㝤〳つ㠸㉥㔸㐱㔵昴㥡㈱搳戱㕣㌰〱㐵㐴づ㉡㍤收挲戲㈷挴㔴扦㜹摣戳㉡㔵换ㄱ㐴〶㙣㑣〶敢㘶挴ㄲ愲〴㜳㉥㘳㠰慥搳㙦㉥㜸㠶攳慦ㄸっ㈸慥敦㙥㝡㤲㘱ㄱ捤㥣戰ㅣㅦ慦㤱㔸㘴㜹挰㥣㕦㜶㉦㈱㘲㕢戳㥤攳挶㡡扦㉤戰㐲愲て㤳㐴㡤愲㉡慡慡ㄴ搴㐲户昸攱㠱㍣㤳㈱敦攵㤸㐹㕣㘵㌴晡捣㔳戴㌷敤晡㈸㐶㐳㍢㥤㙢敡㐳昴愸㕥㤹㑤㤵挲攴㔴晤㑥㡥㜹〷戲扢㡦㥦㍤搹㠸捣扤愲㤸戵㐶㉦㝦㡡㡣㤷㘴㔱て㠴搰㐷户㉢㈴ㄵ搶㤱㜲挰㠱挰㌸㥦㕡挹慦㘸捡㍥愴扥㕤㡤攲㌴㈲㐹㝤收㡣戱㈸慡㠸㐷摢㐶戰㉢㝣愰ㄹ㙢ㅢ㔵㍦㙡㥢㜴㙤摢㈰㘹㤱㉣攷换〶㈹㜸扣ㄶ戸愷㉣㐷㌷㤱㐹晡㡢慡㡣㌵㔴ㄹ㙢戲慡捦㍣挳搰愰㉣㜳㉥㜷挹昰慣㘰搹戶捡〵㍥㌰㝣户㉤㘸ㄲ㑣㑥挹ㅢ愷㔸㘶っ户㔸昳㘷㘱戲昹愳㐰昷㈸攴㈸㐱㐷昴㠳㜲㔵㈵㡦ㅦ愵㑢挷ㄲ〴㡣昴㤴敡敦挲㙣㥡扣ㅤ〱㤱㈳搳攵昸づ挶攵て愱㈶ㄴ㐲挴㝡ち㠹挰㉢㤸㄰昲㜴㜱攷捤戳㡥ㄵ〰㝢挴搸戴ㄵ㑣昹㐰㌹㌲ㄴ攵昱㜶扦挴㙡㘲搰㐸㕤㉢㕣搷摥搴愴㈶慥㙤㙦㑦敡㡤ㅢ㌶㘸づ㌵㑡㐲㤱㙣搶㐹㙡㤶つ搶戸㥤㔴㡤㈲ㄵ㜷慣㙤㤴㌴户㘹〳敥㤴㈲慦㐰㌱㐹㥡挹攸敦㤶㠴㠲㐰㙦愴愳攸戳㑦㈷㡦㐴挴㠶㌶㐰㤱㝡㉡慣敢㡦㐲㠲㈷㜱敤愴㈲㡡搱ㄳ昸㝢㔷㔴㥣慤〵㑤㉤挶摡㔰搴㌲㕥慤捥㍡戰ㄲ捡㠶㔷搹㈶㉣㡤扤㠵ㅡ㐶㜲㘷户摡㍦〴㙦㠲ㄱ㈳㌶㘴㔸㈴挵てっ㌶〴㜳㈵㈲慡戴捥晡〹敡㝡㜵㠱㑦愷㠴攱㐸っ捣〷㤵㈹戱㉡捤戰㠶㈵㍦㈴〷搴㑦㡢㔲㡥敡收昸愲て㤵ㅥ㔰㡥㐷㈵挹攰扡㜹㠶㙥㈹㕣㘲㠰搸㡤㑡㜳攵〰愱摤晡〴㍣ㄹ㙣ㅦ散〰㈲㘱攸㠴搶ㄹ㈵㘸㍥㠵㜰㥢㌷㐱摥改ㄲ愳㄰愴愶㑣晦㌸愶㍣昶㔵愶㙦ㅤ换挴㠵㠸㠹ㄸ敥㑡戱ㅥ㠰摣㘴㘴㤲㕣㌴ㄴ〷捣㐳挹㈶㠵㔶㕦㕣㐷ㄳ愳㥦㈶㥦ㄷ攰ㄶて㘳㔹〳㘴㥢㉡敥戹〵ㄶ戴㘹㜵㝤㤷㜹搲㈹㔷㙢ㄵ㈱㔵㜱㉣慢愵㐶摥ㄶ昸㤲㔷〰㐳㙥㑡㠱㑢〴㤴㤳㌸㑡㜱换㐴㔲昷㜶户㝥っ挳愵㤰挳ㅣ愱敡㘳〰㌲挵㉤㈷〳㘲㙤昷ㄴ㘸ㅦ敥㙥㕣㘰㤰㤷攷㈰搲摡慡㈸换㘶㜰ㅦ慦ㅥ㐵㤶摣㤶攸㌶攳捥戸戴搹ㄳ㔵㈷慣戰㙡㕢攰〸晢っ〵㕥㍥て㘳愴㑢敥攰㈴㤹换㔱㜴昷昲㠷攴㘳收㌲㔰㈱㌱愰㌰挶换㔳㔰〶㔰〵㈳搱攰㔶ㅢ㔶户挲攸㉦㉤㙦㝤ㅣ㤹挲㌰㌰つ㕡昴っつ㥣㐹㤴㌷㌷㜰慥㐳慦㤴〸㘹㌲㤸捡ㄸ攵㄰ㅣ昶㐰ㅡ戸㠹〷改〵ㄷ㑡㈸搸㈳㉦㠶挵㜷ㄳ㐷㙣ㅣ㠱㕣敦慡㤶捡㌹㈳挰昵ㄷ㘷㕦㑢昵㜸愵㐲㜳ㄷ晥戹㙤㠱㔵㕣摤〸捤搱㍤㉤㤷戲攴㥥㘸摦㕤摦搲㄰㕤ㄶ㍣㌴㌵㝡挲〸捡换昳挱㝡㜸㜱慢㕢㤲搰㝥〲㝦挴㠶㙦愷捤㥣㜳㜸ㄱ㜵㤵戰㉦㕥㜴摣㑢㡥㕣㤷收昳搶ㅦ㈸〴㔷㈸㝢戸挸㘲收摦昸㤱㐹捤㘸㍦挶㡣㕢㔹㌶㈷㘸㌸㐸㌸㡦㑣愱㌴ㄸ㐶㌹㠵㑥㘰扢搷㙦つ㤰㑥昶戴搰㠹ㄴ〴㍢㠴攲㉣扤㙡㠴愲晣〸㘸㈵戱㠴㐷㜲挰晣㘹戰扥昲㉣㙡㠸㜰㍣㐷㘲㐴㝢ㄳ㑡㈹愸㤳㠲㍣扡攲挱ぢ㈱晦㍦㔸㡡戹㜹㐳㜶晡㉦㌰戳昲㑣㉢㡡慥㈵㡡㝥搸㠶㈲㠵搷㐰㈴晦摥ㅤㄵ昸愰㌱㍣晢戲〲攱摣搳捥〱昴㌵扦昰晢㍦㍣㠰捥〰挳㑣搲㐶㐳愸敤㐶㤴敢㈶㐲戶捤㐴㘰昰㕥㥡〸愷㌸㠶㔱晣搰㐴㠸㝣㈰戳愸搸摣㐴㘰㙣㉦挵㄰㑣㠴㕡ㄳ㙥つ㥥挰慥戲改ㅦ㍢㠱㡢户挲㐷㍣ㅦ㑡换㥦㠴㐷㙡㙦㝢昵㥣攱ㄹ昶㍥㔹㝦摣ㄳ㔰㘶摥〲㙥㜲换㈱ㅣ戱㝦挳ㄶ㌹㘸〳㕦㐵散㘵摦昱愷㙣敤晥㍡㌰ㄵ愶搰㝤慦ㄴ㤴晣㉢昰㤴㈸㍣㌷㘴㍥戸攷摢挷㕦㜸昰㤱㘳扣慤ㄶ搱慡㜶ぢ捡摤㠴散㘹㑦㈰愸㥢戸㈸㜲㈵㍦捣㌹㠵㑦㤴慣㤵慡㤸㌰㍣㘹〵昹扡ㅤㄷ㐳挲㑢㄰㘶㐸㝣摢挱挴挴扤㠷搰挴ㅣ㙤㜱㜷捡て㥢愴㡢㜰㌴戱㜰改搳㡢挳㠶㑡㐷㐵搶愵戵愹㝤ㄷ慡攸㘵㉥愴搹㑡攴愹㤳㐹㔱扥搳慡敢㡥㔰搷㠵〷ㄹ㠶晤㘳㈹㠵昸〳㈹㈴㜹㤰攱㠵〰㈹愵捥愰愰摤㡡㉣㈵戲搶ㅡ攲愵㍦㘰㐷〸㠸晡愵扦㉥㍦㘲〱ㄴ㠱挵搸ㄷ摦敤㠹㤶戶㘸慣㥡ㄸ慡㤵㌶捤㍣ち昲昰挲㡡戱戸㜶〱㠵㌸㘹㠷㔰摡戲㍢㡡㉦改户挳挰㕢挸搸㥡㑤㕦㕢搱扥换愹攱收〷昴㑣㕥㉡っ㘷㌷慢㜱㈰㤵㌱扡戰㙢㌱慣㘲㍥㄰ㄶ敢㠳㝡愳㈶攸㉣㘷ㅦ㑥愵〸晥昱㑢㈱戶㡦㌴愶扥戲戵㠵㍡捥改挱〶昹ぢ晢敢摡ㄴ挶挶㕢挹㌱㤰戰㕢敡㔵〸慦㠷㥦挵㄰㙥㍡愳攸㡤愲㝣㔶㡥攰㑦捣㔹㔹戵㑤晦㌳㝡㉤㌹敢ㅣ㐷㌳㡣摤愴晦摦㡢㡡㑤昵扦挲搸㥢㐴攴晢愲㠲㌴㑥ㄹ㍦搹㌴㘴㐳㠸挰戳㡤攰㡤㍣ㄸ敢戲挸㤰㜷㔸㥡挷挷慢㘱戳㤴攰昰㝢攵㕡慦㐶搴挷搲戶敤敤㈸〰ㄹㅢ搲㥥㠶〸敡㌸扥㔹㙥挵愷摢晣晤ㄸ戸攷㤴㔵昶㕣摦㌵㠳攱㜹〴㝤㠷昹敤㤹〹㥢㘷㕣昹㘶慢㔰扢ㅥ㤰攸晢〰挶㥣㥥㠵挰㍥㉤㠲㔷㉢ㄶ挹挸挲搶㈲ㄹ晣づ㘹㌰ㄱ㕥愲㜶昰慦㌰敦慤ㄹ㔵㝣扡㍡ぢ㕦㘷挰慡㙤愱散㐲㡦㜳敢つつ㠲づ㜷戴敥㠱㍦㐸㔴㐷ㄱㅣ㤳㕢戸晦〳㠴㙢㉢っ㥡晢㐶㝢昳搹戳㍢㥦㕢㔱㝢ち㌸摤摡㕢㥡㐹㠶敦攴ㄷ挹㐵扤挴ㅣ㤷昶㡦攱敦搶ㅤ戴㥣㙤〸㜴ㅥ㝤搰㑤㐷搸㐸ㄵ敥戳㉤㐴扦捦㘳愸㌲捥っ扦扡ㄱㄵ昸愰搰换㐷㔶㔴扥㠱㙤㤱〱㔰捥攴换挸㍡㔳昵攳ㅢ㔱昵攰摤ㄸ㐳㝥搵〵戲晥慣挲愳〶愹戲愸㍣㠶晥㠴㕡戸晢㈵搶攱攸㈱㡦ㄴ㈸敢换挸攲愴昰㐸㈱搷昳ㄵっ愸慦攷〲㙡㍢慦攷㑢ㅢ慤㐷愱㌱㈰昷㥢㥣㝦㌰㔶㈶扡㡤㘶摤㘱收㌲㕢㐱㌶ㄸ敢㤴〱㡡㐹敥㈵ㅦ㠶ㅡ㥥㈵愶㤰㝥ㄳ晤㝤晥搸慦㥦㘳晡晢㌱㐵ち㐶㌴㌵敦㠲㠲㔱敥攲戳挹㕤昸愸敤扣㡢㑦㙦戴㡢㐱捡㑣〹搵ㅡち㠰㙡〹㝦攴慥㔶㔱㈰㐰昹慢㥣㘷㠶摦愶㔵っㅡ愸㤱㘳搷㔰攸捦㙡㐴捣㍢㍢㙢ㄷㅡ㡦昱愷戰〸づ㌴㝤昳㝡ㄷ扥㘱㕤㘷戴㍢㡢㑦昸㌵愹ち㜳敡㍢扡㥢㉢㌶㐷愹挹戴㐷戱敢㔷㌰て㌷摤昰㌹㜲挶晤昸㉤挰㜲㈴㤹㐹㤰㍣㠸㐲っ愸挱㤸ㄶ㌴愲㍦攵ㄳ㈷㘹㈵昲㍡㈸㍤㕡昹搰㈵㥤て㙤㠳㠲ㅤ昹愲户㠵㠴挴摥昸捤㜰㐷挵㤶敦昲㥥㠳昲戱㤸ㅣ㑦㥣㠸扦ㅦ㔳愳挸ㅢ搸㈱戴换挹㍥〴愴昲㐸摣昹㝢㍦㘸㌸㡥搱㠰〴㥥〹㍢㤳捤㘴攷㡦挶㥤て攱摢㌴搹㈷㐳捡㘲㝡㍥敥㑣㜶㤴㥤㍦ㄲ㜷晥摢愱㝤昵捥㌱昷㠵㌳㙢㘴㡤ㄴ㡢㕦㥥㠱ㄲ摦愹て愰扢㘶搲㡡攸㌵挳㙡㔲愴っ愰㔷愵ㅤ搱㠷㉢㌱ㅥ扥ㄴ㥦挱つ㉦㕣㠴㠱慡〹晦挳㠸㤳戸昹㌵㘵〴〶㍥〴㕦㐵挸摤搳攵ㄳ〷攷捤㔹てㄵ㍤收㐹ㅦ㈷换捡戶㈲ㄱㄸ㐵戹㄰扥㥢㠴㈶㔲っ攸〶㍣攲㔰愱捡㥢㌴摤愹㔰ㄹ㕥捡㈹て挷㤸捤㍣摣愰ㄹ晤挳㐰づ㤴〳㜲ㄶ昴㡦㈰て挳㔱扣戳㥤ㄹ愴搴㤳㈲敤ㄱ㌶㝣㡣搹挷㤱ㄵㄵ㡡㌸搲㐱晥㔱㘴〳昱㝦搷㌱扣㉡扤㐶慡戲ㄶ扦㉣㐹㐶晡㈷㌸攰㤳挸戲㜰㘲㉢ㄱㄱㄶ昵㑦愱㈶昹㔲㑡㄰昹搲捦戰攱戳捣㍥㠷慣愸㜱戱㕢㠶ㅡ昷搴愵晥晥㍣㠶㉡〴〵攷搰扦㄰ㄵ昸愰㄰づ㤴敢㡡㠳ㅤ㔲㤸㔲敤ㄴ搴扣㐲搸挸〶㍢㙡㌸㉡ㅢㄴ㠵昰㤲つ搵愸㠱㑡㑤晦ㄲ㌲㠵昰攰㥥昴㉦昳㠹㘰㤰㉦晣㑡㔴㤰㉦㈴っ攴昰攵㤶ㄷㄲ㉥戲㘱愹攵㠵㠴㤵㙣㌰㤳㉦晣ㅡ㈷㤵ㅢ㐳愱㔹㙦㜱㠳ㄲ摥㕦㐷愱㍦㍢挰戵摤㠷㕦㜵㑤㈹㥦慦㥣㍦晦攲㐰㙥㜸㝦敥扤敦改晢敡昳扦晡攳ㄷ㝦晢晥愳㝦㝤改昱挷㝦晢攷㉦㍥昷搲㑦ㄶ㡦晥攲愹愷㝥㝥昷ㄳ捦晤㜱户昹愴晡㠳ㄷ㘷㥥㝣㘸散攲㐳て㤸㘷㙦㌹晥搰晢㉥摣㍢㌶㜷挵㐸㌶摢搳㜳搳搰㉦慦㝥敢攰挳て㍣愳晣散昷㝢ㅤ㐵㙥ㄷ㉦㘸㕥〶户㉤㤷昱〴ち㔸〶㔷晣㥡㉥㠳摢㤵㠰㍡ㅦ〱㙡〲ㄵ搴㘵㕣㠰㙣㈸㌵㌷昴晥〷㕢㐶扣㐲</t>
  </si>
  <si>
    <t>Cape Verde II : Land Management for Investment Project</t>
  </si>
  <si>
    <r>
      <rPr>
        <b/>
        <sz val="10"/>
        <rFont val="Arial"/>
        <family val="2"/>
      </rPr>
      <t xml:space="preserve">Activity 1: </t>
    </r>
    <r>
      <rPr>
        <sz val="10"/>
        <rFont val="Arial"/>
        <family val="2"/>
      </rPr>
      <t>Legal and Institutional Foundations for Land Management and Property Rights Activity</t>
    </r>
  </si>
  <si>
    <r>
      <rPr>
        <b/>
        <sz val="10"/>
        <rFont val="Arial"/>
        <family val="2"/>
      </rPr>
      <t>Activity 2:</t>
    </r>
    <r>
      <rPr>
        <sz val="10"/>
        <rFont val="Arial"/>
        <family val="2"/>
      </rPr>
      <t xml:space="preserve"> Rights and Boundaries Clarification Activity</t>
    </r>
  </si>
  <si>
    <t>80-120%</t>
  </si>
  <si>
    <t>30-36%</t>
  </si>
  <si>
    <t>20-30%</t>
  </si>
  <si>
    <t>270-330</t>
  </si>
  <si>
    <t xml:space="preserve">The project investment seeks to address significant regulatory, institutional, procedural, and informational weaknesses that currently limit the successful application of Cabo Verde's property rights legal framework.  Currently, delays and cancellations in private as well as public investments are the result of unreliable information and time-consuming procedures, posing a particular problem in islands of high investment potential, where tourism is a major driver of Cape Verde’s growth.  </t>
  </si>
  <si>
    <t>㜸〱捤㔸㑤㙣㈳挵ㄲ昶㡣㍤攳ㄹ摢搹㌵晢〷扢㉣㄰㥥ㄶ〸㘴攳㑤搸㐴㉣愰搵ㄲ㡦昳攳挷㙥ㄲ㘲㤳攵㠲㐶㙤㑦㑦㍣㘴㘶摡㜴㡦㤳ㄸ㠴挴㠱ㅢ〷慥晣㠸〳㜰㐱㠸昷〴㔷㠴㌸〰搷昷㤰攰昶ㅥ㠸㥦ㅢ㠸ㅢㄲ㌷㝥慡㝡散慣敤㜸㘱㌷〴㘹㍢㜱扢扢慢扢扡扡扡敡慢㙡㈷㤴㐴㈲昱ㅢㄴ晣挶㤲挲挶挹㑡㕢㐴㌴㈸㔸捣昷㘹㍤昲㔸㈸ち戳㥣㤳昶㐵㑦㐴㐹㤸愰摢ㅥ搰㠵㘶ぢ敦ㄹ㙡搸㥢㤴ぢ㤸愴㈵ㄲ㠶㘱慡㐰㐷㈶昸挹㜷㍢㈶慥捡愵愰慡㕡挵攵摡㔳挰戵ㄲ㌱㑥㑦㡦慥挵㙢捦㑦㑤ㄵ攰㙦㝡晡㕣㘱昲昴愸搵昲愳ㄶ愷攷㐳摡㡡㌸昱㑦㡦慥戴㙡扥㔷㝦㤴戶慢㙣㠳㠶攷㘹㙤昲㙣㡤㑣㥦㥢㥡㥥㤹㜱ㅦ㝣昰㕣づ戶㑥慣㔸挵㐵敡㌷㠱摦㝥㜱搵㠱敢㤲㔵㕣攱搴摤㉦㥥ㅡ㉡㘲慡㐴敢ㅥ㙡㡣㔲敥㠵敢〵慢〸晦㍤㕡㠱摥〳㠵攵㑡㠵㠶挲㡢扣㑤㉦㙡攳昹捣㘰戹㕥㕢㈳㝥㡢敡㠱ㄴ挹〸搶〸㕦㈲〱ㅤ〹ㅥㄷ㜴㤵㠴敢ㄴ㝢㕡戰搰昲㥣ㄴ摣㘴昲摥㘱ㅢ㜵㤴㔴㔸戶㡡㔶㠳昰㐸戲挴つ捥っ㥢㉤㜷㉡昴㠸㈲搷挸㔱㔴㡦㤲敤搸㡡摣ㄳ愵㑣㘳㘵㐰愵㥢㔰ㅤ敥㔹㌹㉡㤷㡥㑥㈹愹㥦挱攲㝡ㄷ㘶㘱愶㙡ㄳ搵慥愹㜶㕤戵ㅤ搵愶慡敤慡昶扡㙡㌷㔴摢㔳敤愷㔴㝢〳收㜴㡢㤱㑥慢㥤昲昹敡㤹ㄷ㝦㝤昹㠹㐷摦戴ㄷ晦扦昶搱㜳㍦攷㤰搷ㄲ㥣慤戰㐴愳㝤㌲〴つ捦㜴敤扡捣挱㙣㉤㠸慦愲㐴㐵摤挴㝢㉡㠷づ摤搶愱〵昷㤷ぢ㉣ㄶ㐶㜴㍢㉡㤱㠸愴㠳ㄵ挲㘹ㄸ㤹㌰㘹㕣慥㡡㕢戸㜲㐴㡥㜵㔷㘷㍡㍤攰㤰㤷捤ㅥ㉥㔹㌹㄰㜳㔲挰昵㤲愹戸㌶昴㘱捥扣㐸㐴㈳㈲㌵㥦㥥ㅡ戸㜲搴ㅢ㔸搹攳㤱攷㡢〲戰㕣攰慣搵㐴㡤敥ㄷㅦ㘹挸㘸ㄸ晡〸㔴ㄲ㝡昰ㅢ㌶㜸挴㍣〰㕦ㄹㄳ㠹㈶ㄲㄱ㤶攰ぢ㑡㤷㤶㍢〴ㅤ㄰戱挴〲攲㠵晢㜴戹戹挳挰昴戱㡥ㄵ㤷㌸搹〲㡦扣挲晡晥挲㈴晥晤㌹㈴〱㈲戹㌳敥〳敥搴㤴㌳㌳㐹捥ㄲつ㕤攰㝡㍤敡〸慣挹〵㤷扤搰㘱㕢搲挵づ〵攰㍦搲㙤慡敤㈶㤵㐳㌹户㑡昸㍡〵户攵攵搲ㄱ搷㘲㥣㔳㥦㐴搴㤱〳㠸搰㌷昷て㡡㜹捥〲ㅣ㍦㔹㈴㠲㕥㜱摦㜱㌷摥愸挸㕡愱㈳㙥ㅤ㑥慣㐴挰晡挴㈰敤ち㤳㕤换㉡〰㘹㔴㐸㐹㙦ㅦ㕣㈶㡤㝦㜶摢㡢挹户つ㤰〱搴㔸敤敡搴㜹㑥㥦摥愱敥㤲㘸ㄶ挲搴㈶㐵晡慥㔳挶愴㔸㉥㠰㈰㈶㘸㈸挵ㅢて㔶扣晡〶攵ㄵ㡡㐱㡥㍡昲愸㐷㤱㐴挱ㅦ敢㔴㡣㉦愳敡〱㔵㥤㝦昴㡥扡㜳摢ㄱ〵㙦㜶㐰㕥㠸㌶㔱扢㡡㥥㜴慣㙦㑡扣㈷㄰㡥昷つ捦戳㝡㑢愰搷㜲收昷㔳㘶㥤㑤〲㝢㍡㤷㤸㐳㔳㈹㌵㤹㐸㈵㔲㔸㈰㡣㈶㤳攰捡㤳〳㡥㉡㐳〶昲ㄶ扤搸摣㘳㌹〸捥㘷慦㘹㔱扦㜹攱扡㘱㤰戱ㄳ晦㤵㕢晡㝤愵戰ち摡〳㉤昹ㄴㅤ㐹ㅤ㐴㤴ㅥ㐱慦㔸つ㙥㌲ㄴ㑦攳ㄳ昵攸っ敤ㄶ㘷㡦㕤晤㈸㤲敤㡥㘵晣扤㤳㔵昵㜰攷昴㜳㥢㠰搹㡢㈴㜴㝣捡晦㔸㕦㈸㤱㠹㥥㙤ㅥ挵敡ㄸ㔴㤹㠴昶㍤愰摢㔵㌵㠹㠹㤲戲慤戴戵㉤捦㠹ㅡ㝡㠳㝡敢㡤〸挶㈰扦㌲っ㔴㌳㌲戹つ㍥ㅦ〳搴ㅦ挳㈴换扣〵慢攳㔰㘵㌲㤹ㄸ㍦昵㡣㜹慢散㈷㔲㠸慣挳㠴摣㠹〳ㄸ攰㌲ㄷㄹ㜱收㐹ㅤ昲戲㜴㈷㉢㌳㉣ㄶ㌴㈱㍡昱㍣捥戴挰㌶挱收㌷㍤㠷㜲〳〷㉡㤰晤愵㈰㈹ㄳ扡昴㙣〱㘱㈷㤹搰戴慣㌱㙣慦㜲㤷搷愹㡥〶㝢戳换昲㉥晥㍦㍥㜶敥〲ㅥ㉣㤳挱昰㘳㥥挴ち㑦慣愱㈶慦摢ㅢづ挲愲㘳㐱愵挱戶ㄶ㐱㤵㔴挴㐹㡦戰戸ㄷ摤扣㝢ㄸ挲㈸〹㡥换昱〵㑥〱〰㜹ㄵ㜰㐰㥥ㄱ㔷㥣ㄸ㑡㤱㡢㑥㐸㘳散㜱挳㜱㜷捤愳㕢〸摥㜷散㈶㐱搶㘶戵㐴挴㘴搴扦㝤㌷扤挴㤶㔸㔴昲㐴搳㈷敤㔳㐳挸㌱攵㜲㠳㠶㠰㕤ㅣ㈰散捦㈶戱㘶㤳㍡㐳㘴慣戰ㄶ慦搳㜲改㐶㐰㍦戸愹戸㈸ㄲ昸ㄴ㐳搱㔵〵捡摥ㅣ㑦㐱㤷㐸㍣㝢攴摦ぢ摦㍥昳挲〵㜴㐵〵ㅣ〴㕣㐴㐳㘷摣ぢ㐰㘲㝥㌲搲ㄷ㤶㡦㘲晡㝤〹㥥㉣㕥搳愷㐵挲挱戰ㄹㄷ㘶搰㙤挶㠶搷㤳〸挷摥㜲㈳㈸ㅢ愲㑣ㅣ㕦ち㔷挷搷ㅥ挱愵つ愲㌱㑢㐵ㅥㄹ〸〴昲摣㠸㑥㝢扣㉢敤㍢挰挴敢ㄴ〴㕦㤹改㑤㑣慡㙤ㅢ㤲㔴攸㘱㔱戴㙦㠱搵㔰昹㄰㕡㔳㈱㍥㤳攴慡捣㐶挸戶㐲㈹戹㈶㌰搷㐱㠶㘶㍡㡤挷挸挰㐷㤶ㄹ㠸挲搲㙣ㄲㅡ〲敦昸㌰㕤挵㌹改捥㍢慥散㐰㜸攸㍣摣㜲昸㜰慢㜲㉡㕦㘷㠶散㠰ち㐷㠲换㡣㙦搴ㄸ摢挰㤷挲〱搹ㄳつ㑡㈳㝣㐹㘵㠳昸㌹㠸㙤戰晤㘴戲敦戵搴搱㍢ㄲ㌱㈳㤶搹戲㝥㈷戴㤲昳扣㉥㝢捡㔷㜰㝥㝣㘵㝤㌱昷搲㠱戱㡢㘵敢敤㤵ㄷ摦㜹晦搳ぢ摦㈸㕦㜶〸晦㝣㤹㝥昲捡㕢收愵て㕦晤扡昸挳㑦㘳ㅦ㙢ㄸ㐰慥㈹㜸攷㘱攲㐱㜷〷扢慡㕥攴搳慣ㅢ㥢〶戶つㄷ搰〸ㄲ㉢㈷敤㔶ㅢ㜰敡搲㠸扢挰㍤挷昷㐲㡡愶〳㈹㉢扥㍡㉦搲㜵㐸愲㔶ㄸ扥㜰㔹㌸攲㔶㌹〹〵挶㥡戰摥㍥搴搷㤳摥愲戹㐵㉦ㄴ戰㡤挴㑢㙣ㅦ㜴ㄱ捥攱收㕡㐱戸㐰㥡攲㐶㜰㈷昹愳〷愸〷㑡っ㕥慡愲慡㡡愱ㅡ㝢昴㠸㠴㝥ㄷ戰捡昷㜸攰㐳愳㜳慢慢㤰㘶愹ㄲ搸搴晢㜱慢ㄸ捦㄰攸慥㍤愷㐲㌳捦挹㥦ㄱ㍡挹㙥㜲㔸捣摥㐹晡㘴づ㜳㌷慣㔱㌰愵㤰㍥㜲㑦愷㠱㥤㍣㠶㘷㡣搶晡ㄸ㔴㌷㔹㐵㍢㌶摦慥ㄷ攸昷挲昰〱ㄸ敥挹散昲ㄸ捤㘵敡㜲ㅦ㌴攴㉦〶㡡摣〱㝢愷愱敡㤶㍣敥㠴㙥㙢㑥㐰㌵㤲㔴㜰㍥晡愱㕥挰晥慣敦㡦㜶㍤㐹攸㘷㜰愸敦㤷つ㝤ㄲ㠶㈶慣戵㜲㜹挲㠷㜴捤づ㐸㐸搶改〴攳摥扡ㄷㄲ摦愶㥣㑦戸㡣摢㕢戴㌶戱㌹㔳搸昶㐵愰㝣搶㜱㤲㝦㍤晦㍦晦攴扢慦㔹慦㤷摦ㄸ㍢晦㤹晡㥥昲摦づ㘱昰㔷㠷㝣㔷㘰つ㘵㝣㜸ㄸ㐰散㑡㙤挷〷摦ㄱ㜳昰㉥㘸愳㐶㤲㤰㔳㘹搲散㔳敡㐳㝢攳搵〵㘹扣㌸敤㍦㈰昵㕦攰㠳㌷摣㡦戱㜷挰㠸㌹㡤慣戱ㅡ挴㔹㑣ぢ攷昱ㅣ〳改㙢㌶㡢愸㕡㝤攵㠳㐷㝥㌹晢攴㙣昶㜷摦换㠰㜱</t>
  </si>
  <si>
    <t>㜸〱捤㔹㕢㙣ㅣ搵ㄹ摥㤹摤ㄹ敦慣搷昶收挲㉤摣っ㈵㤰攲㘴ㄵ㤳愴〴㘸㤴搸敢㌸㜱㜰㘲挷㜶㤲㔶㠰㌶攳摤㌳昶挴㜳㌱㌳戳㡥㕤㈱搱昷㍥㔴攲㠹㐴㔴㔰㉡昵㠲㉡㔵㝤愹㝡攱愵ㄴ愹㔵㤵㍥ㄵ愹敤ㄳ〸㔵慡搴愲㡡㡡ㄷㅥ愸攸昷㥤㤹㕤敦慥搷㥢㘰㔲挹挷昲扦攷㍥攷晣户昳㥤晦愴㤴㔴㉡昵㌹ㄲ㝦㤹㌲捣摣㌷扢ㄶ㐶挲㉤㤶㝣挷ㄱ㤵挸昶扤戰㌸ㄲ〴收摡愴ㅤ㐶㘹㜴搰换㌶摡㐳慤ㅣ摡摦ㄲ搹昲㡡〸㐲㜴搲㔲愹㙣搶㔰搱捥㐹昸㕦愸ㄷっ㡥捡㘷㐰收㑡愳㔳昳㔷㌰敢㙣攴〷㘲晦攰挵㜸散戱攱攱㈲晥づㅦ㍥㕡㍣戸㝦戰㔴㜳愲㕡㈰㡥㜹愲ㄶ〵愶戳㝦㜰扡㌶敦搸㤵㘷挵摡㥣扦㈴扣㘳㘲晥攰愱㜹昳昰搱攱挳㐷㡥㔸㑦㍤㜵㌴㡦㑦愷捥㤵㐶愷〳㘱㠵户㙢㑥㥤㜳㑥㤵㐶㡢攷㐴㜴扢收散挱㥣㤸㜲捣㜷㑤摢扢㑤㤳㙡攴敤愱㌱㔱戱㈹〴㈱〲摢㕢㈸㘲搹㉤㡣㐶改挹攲㌸㌸㕥㌱挳愸㈴ㅣ㘷㐶㔸㕣㑣摥㈵捦㐴㈰扣㡡〸晢摤㤳慢ㄵ攱㈴捤㘱搶扤㘸〶攷㑣㔷㘴㤸ㄹ㜰㘳戹㑤㔴㠵ㄷ搹搱㕡㥦㝢㈱ㄴ㌳愶户㈰搸㐵㜳㑦搵散㙡㈶愳㘴㌲愹昴㘳㥤ㄶ㈳㘵㔳ㅣて㉡愵㐵㌳㠸㘴㠹㔲ㅢ敥搴户㐹㐳攴挲㕢㤶㐵㉤ㅡ㙣ㅢ㐵㌱捤摡敥戳㈲昰㠴挳㡦㔰㜸㐳㙤㥤㈴㑦㘲搶㌷㤸㔳摦つ㜹愱昴㈶㝡㉦户㠲ち㈳㑢㘲㠰攸㌹㤰昴挹㤹ㄹ愳㤷㔵㜹㄰㈵昳〹散愶㜹〸㥢搴戲愹㤶攷搵㜲㐵㉤㔷搵戲㔰换㤶㕡㕥㔰换㡢㙡搹㔶换㔷搴昲ㄲ晡搴㔳戶愷㐷㑤搲㤹㔷挵敦慥晤挰㌸晢昶昵昷㐷晦昹挹扥㜷昲晤攸㜴㍥㔹捥㔸㘰㕥㠵㑣搷搵攵㠹攲㐱晥摤摣㑥㘰㈶搶ㄱ敢㐹㙢㜸戸㝡攴愰㜹挸搴戸愱㕢㤵捥㙥昴捤㕢㤷㙣慦敡㕦㤵攲捡㕢攳戶ㄳ㠹㐰ㄶ〶㉣晣挴㉡㈷换㝤搶挹㔵搸㙡㈵㤶散㙥慢㈴㠲〸㍡ㅥ慤慤㡢晢扥㔱㌳ㄴ敢挵愱㘴敥㔱扦收㔵挳㝢㍢㌷捥㐶㘶㈴昶戴户慤㑦戲㘱搸㉣昴㕦㠴㜲㐹て戴て扢㘸㍡㌵㌱戲㙡挷捤昷户㌵挳ㄲ晣昹捤㕢挷〳昱㘲愳㜵挳㡡㐶攰㈶㔷攴摣ㅢ㜶ㄹ㌷挵敢ㅡ㉣㉤晡愱昰攴昲㠶摣㘹扢戲㈴㠲㔹㐱㈷㉢慡㜲慢㜷戰㈹㌱挷愱㈹てㅢ㠵㠱㔵ㅦ㙥慥㈵愳㠵㔷ㄵ㔵慣㜷ㄹ㕣㕥㥢㌳攷ㅤ㜱㘷㑢㤷昸㥢㘸戸愷愵㝡摣慦搴挲㤲敦㐵㠱敦戴戶㡣㔴㔷㑣戸㠰敡㔹扦㉡㌲㌲愵㘲慡愴搲㘹㐵㐹敤敢㘴㑢㥣㍢愴戵㌵㈹〹㙤扡㝢攷㈶㈵㘲攷㡥㔶摡㤸ㄹ㤹㈶㈵㘳晦慦㜶㕤㐹戳ㄲ戲昷挱慥扤㍢㈸㈹〷摤摤㙡㜸挵ㄹ挸〷㜲㜰〴慤㔲㝤㘴昳㈹搷昵昲㈶㉢㙤㤲ち捦㔴昶敥挲㌴㌹㙤㐳昷晥扦㥤㔵㜵㔷戲晢㤳㉢㜰昴愷㑤慦敡㠸愰㉢㈲㔰戸㈲㘳㠰愴㐰戲㠳㘴㈷挹㉥㄰敤㈳戸挹㑤㌹㑡㘷慥慣㉡㙢摡㔵扢ㅡ㉤敡㡢挲㕥㔸㡣㔰〷㈴㤱捤㤲摤ぢ昸㕦〵㤶㜸ㅢ㔰攲㝤㘲ち攳づ㤲㍢㐹敥〲挹攵㔲晡摤昸㠵㡢㌶敥攱捦ㅥ㤰㠱晡㐹㌷ㄸ㙢㘶㑥搱攸挵扦昸㔹㐳晣㘲挸愳つ搸㈳搴㕣捣ㅢ愶搳㥤戸㜱摡っㄷ㈳ㅡ㘲搷㐶㙥搷戸㤷攴㍥㤰晣晤㈰攷㑥ぢ〷㘶㝣扢㘰㡢挶㔳攸愶挷㈳愵㜳愷㍢扢收㔵ㄶ〳摦〳㠸ㅢ㌳㈳㜳愴〲っ㄰㉡愶敥㑥晡愵㕡愴扢愷㙤晣攴摤ㄹ戱㉣捣愸〴㌷ㅤ昵戹㤳挰て搲㡦㑥㔴㔷㌵㌷㍥晡挷㐴㔸㌱㠸ㄱ㈶攰㤶㔶㜵攴攰㘷昳㉥ㅤ㡤㔸㡤㌸㜵㡦㍢㙤〲㘳㐴〶㍡つ挹㔱㜱㡥㈳晢㘴㕤㝤㜴㉥㈹㘱㠶㠲捣㌶捤搲㉢㉢攲㤹㔲㘴㘵ち㥥㈹㤵捥㈴戴摤㠲㉥㐴戶ㄳㄶㄳ昶ㄶ挷㝣㘰㐸㈱㘱㉣搹慥敢㔰㌰扤慢戰摡つ㥤㈰㘳慡㌲ㅦ㑦㡢愵㥣ち晣摡㌲㠱挶敤㥡㠷㜳愵㡣〷㐰㕥晦捦㕢捦散晤摥捦㍥㑦㝥㕦㠶〹挹㘴㄰㠷ㄸ搴㜷ㄶ昱㈳㤳昱㄰㝥㜲摤摡㌴㈲㤶㡥㥥㜶ㄳ㍣㐴㤳捥扢搸敤㕣㈰㈴挰换捡挲摡戲攸㜳㉦昹挱搲扣敦㉦㔱昸晤戲ㄴ㉥ちㄱㄱ㌵昵㈶㈰㤱㜹㐵㔱搲改ㄶ㝣搴〴慦㠸户昴扤㈰㝤㈳㡥㌳㔸㥦㌱搴ㅦ㐵㔵㥡昸敤㌱㘴づ㤴㉥㑥㑣ㅣ㜰攰㠲捡慥改㤹ぢ攲㠰ㅦ搸ぢ戶㘷㍡㘵ㄱ〴〷㉣㍦㈸㕦ㄵ昳〷㔶㡥ㄴ㔷㥤搰㔵晥ち㤶㄰㤳晤昹攴㜷晢昷㑤㑥㤴㝥㍣晤㥤户㝥晥敥昱て㤴扦㈴つ敤㈸㑢愳捦㙡搷ㅡ㠹ㄲㅢ攷㑦搳挹㐶㙦愴㕢ㄷ㍣㍢ち㝢慤㤱㕡攴㡦摢搱㔸ㄸ攵㉤㄰㘴攵㤰㍤搲㔵㌷つㅡ戲㉥摡攲敡ㅣ昸昶攰挶㈶〰攸㔲㉤㡣㝣㘹㄰て㙣㙣ㅦ昳捦昹搱㤸ㅤ㉥㍢收摡㈳ㅤ㥡攳㤶㑢㡢挲〳㜶〸〰㈱㙥搶挹㕦㕥ㄶ搵づ㙢㥣昵㙢㐱㐵㑣㡣㙤〷昴愱挴㤶㥤㠲昲挰慥㤵扤㥢㥦戶㑤㝣愷扡慡㔰㌸㘵㙢㠷㤷晥㌸挶㉢㝢㔳挶㄰㝥搳昸㉡㡥ㄵ㘳㍦昲㌸㕤㌴㥥㘹摤㤵愴〹搱搰晢收㉣〸㌶慥敢㑢㈰昳㠴ㄷ摡㔵㤱㑢㑡㘷㙤慦㍦挹㑥搵愲㤶ㄶ㜳㜵㔷搲〲扢㤸昲㈰晣㡡ㄹ㔴户㠳㕣戰㌱愴㔸㈸㡡㡥扦慤戱㍡㥥㈶㤵晡戸ㅥ㜲昸昸㘵戸慥〳愸㈶慦〹ㅤ㍡扡愹㠶㐱㈲搳〴〸㘹挰㝤㘴㜷愳㍡换搲㔹㘱㝡㔲ち戳㔱㜵㑣慣昴换ㅥ〲㉡㡥㥢慢㈳㜶戵ㄶ攵㘹㘵㔸㈳昳愱敦搴㈲搱摦挸㐹㔳㌷慣ㄹ攱㤸〴昷昹㐶㙥扡ㄲ攱晡搳㤸㡦挰㝤晢㐸〸ㅣ挹㈴㔲㔲愴㥣昴㉥捡摢扡〹㕡搱ㄶ愵㡡㜳搸㤲改摦挷㤵敢搷㤸㝥㜲㍣㔵捦攴㤸㔲ㅡ㐱挷慤愳㜷㕡搲慥晡愵㌲昶㜱搲㝤攵敢㜵〴捥㝤㤶昴㝣戸ㅤ㌳㘸㌱㐰搳㜱㄰㔱㡡散㡡改㌸㙢晤搶㠴㔷㜱㙡㔵㌱㘹捥ぢ愷敥戵晤挰摤㈶昲㤲挱戶㔸㔶㕤昸㤲㕣㘹㈶㄰㜱慢摦ㄵ戶散攸㔲㐶ㄱ㙣㤵〰〲㜳攴㡣㠳㈸㔱㌴〴敡㕦昸慡㐴㉣戲㜳晤愲㉦㘳㐱㜰㙤ㅢ慡攸搳〸ㅢㅢ户㉤㘹㜱㑤摤㈶晤㐹ㅦ㌷攱㙡㔳搵㘹㍢慥摡㌶㜶㈵挵愴敢晡㔶㡦ㄸ昰ち改攳〴戳挱改挵攵攳攴㍦㈵挰㕢㑤㍢攰㙣㠲㈲昲昴㤷㑥㤰挷搱〰㍤㔸っㅤ收散挸ㄱ扤㤶㙣㤷昹㉣㑤㠲摣散戱收ㄶ〱摥挶晡慣㔳㠱㕤㜵㙣㑦㄰㠶㈰㌲挳昸摢愴㔸㐰っ㘱摡て㙤㠶㜷晢慣戹挰昴挲㘵㘲昴捡摡捥㤶㤲ㄴ㤶㘶㡤摡ㅥっ㈸晥㈶昳〳搶散愲㝦ㄵㄱ攲㥡敢㥤㌲㤷挳㙤㈱㈸摥て攳ㄴ㕢㤵慡愸慡㤲㔵戳㕢㍤慢昴㘱捣愶㈳㘸〳㡥〱㈰愴㔲㑦愰慣㤲㈴㔲攳㌵戴㡢改㔲㘰㐹㌰㠷愶换攵戵〴㕣㍢摥㈴ㅢ㤱㜶扡㘳㠳ㅦ换ㅦ〲㌹㜳敡挲挴㝡〸昰㑢㠵换㌵㕥㥣扢㥣ち㜲扦㡤㜸〳㌵戳㍦搶ㅡ搶㔱㠹っ㈹㝣㤶摡㌵㌱㘷挹㍥㔴㑡ㅣ愴散捥散㌸㙥㠲㜹昸〰㜸㘱摣愰攱㝥晢攳〲戱㥤㙢㍡㘱搲㔶昲㕤搷愴㤶㤱摦戳㜰攱㈲㉢㠱㌶㥣㡡㘱㠱㐸㔵㑣慡捣㔵㔴㤹慢戲ち㈷㌳㘳㠸㌲捦戹晣〵㌳戰愳㐵搷慥㘴㔹㘰㥣㙦㕢愸㈷㔴㐸摥㕡挱㔰㈶愹愳㐰慤敤户昵昸㠲〹㜱ㄷ㜱㤱㈰敢㈸㝥㈸戱㉡㡦㜳㘵㡢〱ㅡ愸慦㐱㤸㙢ㅣ〱搱攴挳っ敦捤㑣㑤㔸っ㌵搲ㅦ㈹㡣愵戰搹昸㕡㤲㘱㈱挳搰㐵搷㍢㌳敦㜵戹㐹摦慣㡥㈳ㄴ散〷㍤挹昳㑥ㄶ愲愵㜷〹ち㡣㤳㤴㄰㘴㐴昰㜲〵㤰㌸挸戲㘲ㄶㄱ㠸っ㈳㉣㝡㉣㐳昲㈶愵㘹扤搹㑥摦㥡愸捦昵㐸㜲㥦㙣㝥愶㥡搸㌰晦㐷攷㡦挲挹㜲㕢㐴ㄴ挶㤳㈴㐷㐱ㄴ㐶㘰戸㥦戶づ㑦戱挳搳㈰ㅡ㉦攲敤㔶戲㘹㑣㠱㡦㌰㥡换㔸㐷搶攵㜶㠰㍣㜴㐴㐰㄰㌳〱㑢昴摥㉣㘳づ挶㌳㈰㝦扡㜱攳ㄸ㝥㔲捡㐳㈰昵敦㍦㡣㝣戲挰慦㈳㙢戰㠷挶换挸慤㕤㝦挸昵㐲搳㥤㤴㌶ㅡ敥戰捥搷㑣〷㉦㌵㔳㠰㐵ㄱ慢戶㠳ㄱ㘴㘲㜰摡晥〸搱晡㠰㠳㥢㥤摣挲㜳㉦㌰㈴搲捥㠳搶扥挹摥㐲昶摣ㅡ㜸捤㘹敦㈰㐰㜰㙢㕦愱ㄵ昴慣㌰扥㔵㉥㈳敥㠳ㄲ〵㥦㌳愸㘲㌸挶ㄵ㕥ㅡ愵搹㥣㐰㠶㐶㈶〳㥣扣摥挸摡ㄱ㘴敡㐹㈳ㄴ敢㜲㜸戴攱㍥㡥摦戵慥敡㜴㙡㐳づ摦㘳㍢搹㐸敢ㄹ㌲㡡愱ち愱摥㠶㌵㈸㍣㕥㘴敤㔸㤲㤱㝡㑣ㄷ㜱㔳慦挴㥤攱㐶ぢ晦㌴ㅢ慤㌹㌸ㄳ㤸㘵㑣㈸捥搱〸攲㘶㉣摡て㠰㜵㌳敤㔱攰挶㔸㠶㔶㝡㜷户㐵摤攵㌰戶搰晤㘹扦㠱㠸㌶ㅤ捦ㅤ慣㑢㠵㘳㤸昴㜱㤰摤㘷敤㑡攰㠷扥ㄵつ捥〲攲っ昲ㅤ挶〲搸ㅤ搱㝥㠵ㄹ㍢㝥㤳ㅢ换㜸㝣搴㤴㠲捥㉤㜹晥㔵㑦慥㐶ぢ昹ㅣ㈵昹搵搳挳捦㄰〲换昴ㄵ㜰戱㐰㔷挹挱挶㘹㤰扥㜴㠱扥㠶愹㐰㝦挳㔴愰㜳㘱㉡搰挱㌰つ搰㈵㜰ㄶ慡搲㙤㑤〵㍡ㄲ㑡㔳㥦〰搹㔱ㅡ㉤户扥摦敡㘷㔰㥤㐷戵㜴戹㌳㜸挹搱㥦㐵㑤㍦㙡㥡㘰㑢㠱㥥㠸戳ㄸ㤳㈴㡣愲换㔷㔱㠵ち㉦ㄹ㌱㠵っ㍢昰扦㜰〲㐴㜲㘰ㅡㄹ攳㍣㐸㥦㕡ㄸ挱て㤳㈲昵㄰ㄹ愳㔱㠳㐲㘱っ㐴㡥㤹㐵愶㉦慤㤱㜹捦㙣ㅥ昵㘹㕡摣㄰㑣愴攵㈵散㈴㕥戶搶㘸㜵㘹ㅣ㈶㥡摣㔸㐶㝤㝡㙢㜳搱〱ㄱ㠱挹晦㥦㐲㔷扥挴㍣㘴搴扡㝥㜲挶〷昱㙦㕣〰㔱挸搷㍣㑢㝢㐹ㅥ㈵㘱散㔳昹ㄱ㍥搹㌱㥡昹挳愴愱㍤㥡㔹愰㈴㈴㈳㥦攳㈴捦㤳扣〰㤲㔳㈸っ㜲㔵㜹ㄳ㐳戹㤵㝤㈸㘴ㄱ收愲㠰㘴挳昷㤳〶挶㕦戲㙡㕡愳㈸ㅥ摦㥣㙦㌱㐰㕢㝦㘹㘵ㄸ㐶戳㘸晢扤㔶晣搰㐹敥挹㜰㤷㈳つ㈷て慣ㄶ攰慤㜳ㄲ户㄰㈰㌴㍣搵㈷捡㠸摢〹捦捣㍡ㅡ㌰㘴㠹㠳㜵㙢㉡〰㍣攸戱㈶㐲摣㜵慡㔹㍣㈰㐴㜸㝢昶戶挳ㄹ〶㔷㤶愱㤶㐱捦ㄸ愳㔴㍢㝡ㄱ扡㠷㜶昴搰㜴愱㕢攷㐷晤㔲慦ㄲ攲㙤敤〴搳㉦攳㘳敢㡦㕥搲㙤㠵慡昲㍡愴㑡㉦㤷晢搷ㄳ昷㝣㡥ㅥ㐸㙡捡㤸挷㡦㕥〱㘱㥣㕤㤱晢㐰扣搳愸愲㐶〶〶㈴㐹㘹㔴捥昶㡤搱愷㡦㜳㐴摢㜳㕤㙦㉦㜷㍢㜷敤搷㈷晥㝢攸㠵ㄱ㠵晡㈷搵敡㝡愲㔶㜴㐵㔹㔵㔷愸㤳戲攱㕡搲㐰敦㤲〵〴愶㥥捡㠶㔷㤳〶扡ㄷ挳〶搱戸摣㕢收㈳つ㙤㡢㠷攴ㄵっ㔵挸〴捥㘱㉣㈵ㄹㄶ〶戸㡥㑢昸㔷㔷㤵捡攵敡攵换㥦づ㘴〶昷㘴扥㜱㈲㝦敤㠳㍦㝥昸捡㝢捦ㅦ晢挷㘷慦扤昶摥摦㕦戹昱搹摢昳挷㝥晦收㥢敦㥥㜹晤挶㠷㍢慤㌷搴㕦㝣㍡昹挶㑢挳㑢㉦扤㘸㕤㜸晣搴㑢摦扣㜲㝥㜸㝡挷㔰㍡摤搳昳搸慥㍦摣扤慦昰敤ㄷ㝦愹晣昶㙦㜷㜹㡡晣㌶㍥搰㜰㡣挸愷ち㕣㠳戴㘷ㄷ㤹扥戴挲ㅦ挹愴㔷ㄲ㈶㡤愲〲㘶摣晢㍦〱敢㠹攰</t>
  </si>
  <si>
    <t>㜸〱捤㕤〹㜸ㅢ搵戵搶戵㉤挵㈳挷㠹㠰〰㠱搲攲〶㈸㤰挵昵ㄲ㘷㈵㌸㕥㤲㤰㤰摤㑥愰㙣慥㘲㡦㘲ㄱ挹㑡㈵㌹戱㔹捡㔶㤶㔰戶㐲搹ㅥ㄰㔲昶慤㌴㔰攰〵捡㘳㈹㉤ㄴ㈸㈵㠱㐲㈹愵㠴㐰㠱戲戴㔰搶㔰㤶扣晦㍦㌳㘳㕦㡤㐶㜶㈶㡦昷㝤ㅤ愲愳㝢捦㍤攷摣㝢晥㝢㘷㌴攷摣ㄹㄳ㔰㠱㐰㘰ㅢづ㝥昳㈸㘱㘱慦㤶摥㑣搶㑣㔶㌶愵ㄲ〹戳㍤ㅢ㑦㜵㘵㉡ㅢ搲改㘸敦摣㜸㈶㕢っ㠱㔰㕢ㅣ敤㤹㘰㕢㈶㝥㥣㔹摡戶捡㑣㘷㈰ㄴっ〴㑡㑢㡤㈲戴㤷摢㥦㠸㔳㌱愸㘵㤴㤰㐰㉡㘰㠴㐸㠶㤰㤴㤲ㄸ㈴㘱㤲㌲㤲愱㈴戴㘱っ㈳ㄹづ㌲㌴〲搲摡搴戸㘰搹戱ㄸ㔱㑢㌶㤵㌶挷㔶㉣戵晡㥤㔶㕤㕤㠹晦挶㡦㥦㔴㔹㌵戶愲愹㍢㤱敤㑥㥢搳扡捣敥㙣㍡㥡ㄸ㕢戱戰㝢㔹㈲摥㝥愸搹摢㥡㕡㘱㜶㑤㌳㤷㔵搵㉥㡢㡥㥦㔴㍤扥慥㉥㌶㜹昲愴愱㍢挱昲晣愶挶㠵㘹㌳㤶昹扡㙣敥㑣㥢ぢ㥡ㅡ㉢攷㥢搹慦换收㉥戰〹㤳捤愹㘴㌴摥昵㌵ㄹつ㜲㕥敡㥡捤昶㌸㈷搰㌴搳昱慥攵㤵ㄸ㜶づ搰愸㑤慣㙣挸㘴扡㤳㉢戹ㄶ㥡捣㐴㘲戱ㄹ㤳㠹㑢㌶㘷戲ぢ愳改㘴㘶㘸㤲昸㤹㘹戳慢摤捣っ㑢捥攸㘹㌷ㄳ戶㘰愶㌴戹㌴㥡㥥ㅦ㑤㥡㈵㉣っ㑦㕡㜳㌸扢挳散捡挶戳扤攵挹㈵ㄹ㜳㜱戴㙢戹㐹㤱㘰㜲㔶㜷扣㐳㤵㤴攰㕦愰㜸㝦慦㤱挹㐴㘱㍣挹愶捥㘸㍡㉢㌵㑥㘱戵㤷慣戶㕣挴㡢㥣㜱㜱㐹㔵戸戴㌸㘷㉤昱攴愱㘶扡换㑣戰ㄳ捥攴ㄸ㤷㤰〰㘴捤㐳ㅦ㔲㡥㍢㥣㈵㔵㘶㥦㐰昴㠵扤㠴㐶㠰㡣㙦㑤挷攱㘶㜷㈲㥡ㅥ㍢㉦摥㌵慤㝡挲㠴扡慡慡慡戱㜳攳㉢捣㐴摣捣㘴愷㔵㑦㈲愳㙡散扣㘸捦戴㥡慡㕡㔶㡣㕤愱㘹散㐶ㅢ扢㠳ㄴ户㐴ㄳ挶㐸戲昶〰㔱㈵㙦攰搴搵㍢攳改㔳搴ㄶ㉤㙡㕢㔶搴搶㕥搴搶㔱搴㘶ㄶ戵挵㡡摡㤶ㄷ戵㜵ㄶ戵挵㡢摡㡥㉤㙡㕢〱ㄹ攷㈸ㅤ㌲愴挸㍥敡㍥㈸ㅢ扤晡戴攵㠷摣㌶昴慣扤攲㍦㕣㌳㔱昱㙣㤵㤳晤ㅢ㈸㡣㕣搲ㄵ㡦愵搲㐹ㄹ㜹㔵㘵㑤㥤っ戲慡戲捥搸ぢ慤挶㌷㐱㐲摦〲昹挶㠲㙣愷㤹慥㘸㡥㘷摡搳㈶㔷㑢㌴摤㕢戱㕦㐵㉡㔶戱戴挱搸㥢愲ㄵ㈰㑡㙤挶挰㌹昸㠶㐷㕦ㄹ㤵㉥㕡扦攰㐷搷晣㍢戲昱搹㐷㙦㔲扣㍣㐸慦愳㔰㤸攰㠲㙣㜲敤〴〱㐸㠳慣㙡㍣㌹ㄶ㘶搵戸〶戰㘲散〳㕤㘳㕦㤰搰㝥㈰挳收㐷㘵㈴㠹㡡㤹昱ㅥ戳挳昸づ㕢昷〷㔱敡〵㝢ㄸて昵摣晢㡢㝢㉦摣㘷搶㌵敦摦㤹晣攳改㙦扥慣㜸㠱㤲㘱ㅣ㠸㠲㝢收㙡㙡慣㜹敡ㅦ㠶挵戰㘷㙥愲戴ㅡ愳搹捤ㄸ㤰搰㔸㤶ㅡ㔳搱㡡愵戸㝥㐶㡤㜱慣㔶㠲㈸戵挹敥㝦晦㐹挵扢敦晥搰慦ㅢ敦ㄹ㔵㜵昵㡤㕢㌷㡤㔴扣㌶㑡晦㔵㈸㠴㥡扡㌳搹㔴搲愸愶㘲つㄹ戵㈰挳ㄶ㥢换㕢攳㐹㜳戱搹搱摤づ户挶戳戵づ㐴愹㈷㙣戳㤵㌷㔷摦㌷㜱敦戹昳慥〸㉦摡㌸晤戰㉦つ挵㤳㔶捣㑥㐴㘱慡ぢ㕤㑣敢攴㠹挴慦敦ㄸ慦㉤捥慡捡摡㕡㝢搲㙢㈷搴ㅡ㤳搸摢㘴㤰搰ㄴ㤰㐸㈲搵ㅥ㑤戴挵扢㔶㘱ㅤ㈷㜱㘲ㅢ㔳搹㝥㄰㠸㔲㡦搸愳㔹㝡攳㑤㤹㡦㕥ㅣ摢㝣㘷捦㉤搷扥㌱攳慥ㅢㄵ㉦晢㌲㥡㠳㔱㜰㠳㕣㕢㔷捤㜱㘸㈳愸㥤㉣〳㤳㐱㡣慦㤱㡡㔱捦㙥愶㠳㠴ㅡ㐰挲㉤㤵挰戸ㅤ晤㥢㐶㈳㕢㥡㐰㤴扡摦ㅥ挰㡣㕢㝦㜳㑤搷㡣ㄵ昳捥ㅣ戵收戹挴〹改㌷ㄵ㝦㜲㘴〰㌳㔰搸㈳㜷㠹㔷搷搸摥㔶搷ㄹ㌳㘹㙢ㄶ㐸攸㄰㙡㌴㔵搷ㅡ戳挹㥡〳愲搴摤戶昹昹㘶挷敡㕢㝦㔸㍥攷㘷愵㙦敦昷㡢㑢摢捥㔴㍣ㅢ挵晣㕣ㄴづ㜰愱㕤㌳㌱挷㌷㝢〹搷搶㔶ㄹ昳㘸㝡㍥㐸㘸〱つ㌴搶㑣㌰ㄶ㤲戵〸㐴愹摢敤摥㠶㙣㥥ㅦ晢敤㜷㍥㥤㝢搹㌳ㅦ㕦昶捥攱慦㥦慤昸慢㈹扤戵愰攰㜲愶敦㝣ㅤ㕦㘷戴搲搶ㄲ㤰搰㔲㙡㌴㔵搷ㄸ㠷㤱㜵㌸㠸㔲㌷摡收㍦㝡敤攷㙢搷晦㈶㌲晤㤲慢愶㐶ㄶ㡥扢攱㌴挵摦㘳㌱㝦〴ち攳㕣捥㘰改愰㡢晥昳㐱扢㐲搴㑣慣㌳㡥愴晤愳㐰㐲㐷戳搴摡搰戴ㄴㄷ〵㕣ㄱ㡥㘱戵つ㐴愹㜵㜶挷慢愲㈳摥戸昰愹㍢ㅡ捦㍦攴挷㑢挷〶㥥㝥㔱昱ㅥ㐰㍡㡥愲戰㝢敥㈴㌹㤷愱㠹挶㌲㕡㙡〷〹㜵㠰㤴户㐶㝢捣㑣摦㠵挷㘴㘳っ㐴愹换敤㙥愲㌷㝦戵散晣㠷㠷捥戹㜰晤昵㈷㝣搵㍤慣㔷昱㉥㐳扡改㐴攱挰㝣晦扣扤慢㌵攲戴㝤㉣㐸㠸ㄷ搶戲㈶摣㉣㘵搳摤敤㔹㜸㤷㘰㔳ㄲ㐴愹ぢ敤㙥㝦㜲摢晣愷搷捥搹㙤挶㜹捦扥㜰晡㕥攳㍦晤搹搰ㄴ㥡ㄷ搹㍦ㄷ捤改攸㙡晣〰昷晦戶搷㔴㔶昱扦挱㙦㙡㜰㑦ㄳ慢㡢㑤㡣㔵㔷㜷搴㔵㐵㙢愳㐱晥㙣㙣敦慦㈷㝦愱㠶挶づ㡢㜷㜵愴㔶换捦改㕥㡤搱㡣搹晦敢㍡挶㙥㙢㑣㜵㜷㜵㘴扥攱摤搸㤲㡤㘶捤㍤摤㙤晤㐶昲搴㕡㜰戳㘱㘶愴扦㙦戹搵㤶㐶ㄳ摤㘶㐳㑦摣㙡晥愶慢ㄹ户ㅡ愹㘵㠵㕢㘷愶捤ㅦ昴戵收㡤愸〱昷戳慢挴㜶㥥㤷㔶㤳㌵慥㡡愶捥㔴挶散㤲攱㡤㐹㉥㡣户慦㌰搳㉤㈶敦㠶捤づ㜱㜵㔷㌶搹昷㍢㘳ㄶ㜴挱㔱摣挱㜴㡣搲戹戱ㄹ㍤㔹戳慢挳散挰㜸㔷㥡改㙣㙦㙢㜴㔹挲摣㉤㐷挴敡ㄳつ㝢攴戰㘷愶摡扢㌳㔸㑡搹㜴㉡㤱摢搲搰戱㉡㡡㝢慣㡥㜹愹づㄳ户㐸㈵㍣〲㉡㔰㕣慣㔴㘰戴搷㝤ち敤㘶㉡㘵㈲戴㈹收ㅤ搳挸摣㘵㔷戹ㄸ摥挱㡢㠴挹㌵㔹戴敦㈰挶挴㉥捤ㅣ㔸㔸㔰昳㠹愱〳愵て㈸㉣㉤㘳散㥢戹晦㕦攱愲愲㕤㙣敦㘷慣挲捦挵㈱搱慥㡥㠴㤹ㅥ㌰昰㔱ㅣ㤱戱ㄲ㈴㜸㍥捥收㠲攸昱扥㐹昵愸摥攰敡㜸㐷戶㌳搴㘹挶㤷㜷㘶挱㐳㜰㔴㕡㑡㘸昳づ㈳つ㤶㤱㈱愱㘰㌸ㅣ〸㜵㔳㈸ㄴ㌶㔶㔹昵㈰敦〰晤摦攱㌲晣㌲攴㡥ㅡ攱㑦㈶㤸㥣㤹㑡㘷㡡㡢扤扣㍣㈴㥡改捣㜲㜹づ搸挸㉢㠵戱㥡愴〷㈴挸ㅢ搱㐱㙦愰㜹㕤㉤㘱㥣㔰㥥㙣㌶㘳㔱㐴㘷㜲㜶慢㘸㌰㘹摤昰㌷㥢㤹㜶㠳㤱挱㙣㥣㉢㍤㈱㤴㜰昲て㑤㜲昵㥢㍤搹收㘸㌶㍡㈴㠹ㄸ㠳㌷ㄵ㄰ㅡ㈳㕡㔶㠹㥡攵挲㜳戴挳㜶つㄶ㈲㔲搴慣㤴〹挳戲㠴ㄳ〷攷㑢愰搸愶〳㍢㠱戱㌳ち〸戹ㄷ㝡㙥慣㠰㄰愶㘳㤶搹搵摡扢搲捣㔰扣㌴㌴㈰㤴敥搳㡢挶ㄶ戴㉦㕢㤲㡤㈷㌲㤵ㄸ改慣㜴慡㝢攵搷㘹㠷戶㡣㕥㄰攷〸㥥㠱㔵扣晤㍥㌱㌱㌰㘴ㄵ攷愶慤㉤㔰㑡㙢攴ㄸ㡣㑡っ慥㔶ㄸ摢㠶㉦㌹㡣ㄳ昱ㄵㅥ愸㉤挸昸挵㑦㕣挵戸㘰㘸ㄲ〸戵愶㑤㠹ㄴ㑢愵〲戴换㤳㠷愵搲㉢㤶愵㔲㉢戸㥥㠶㐹㉤搳㘹㥡㔹㐶㕦㘵㜶戴㈹㔱愵㔲挵挵㌹搱㤲ㄶ愶㌱㙥ぢ㥤〲㔲摥㤰㐸㔴㌸ㄶ㌳愱㔳挱㉡㐶ㅣㄸ㍡つ㠵㜱㑤㑢㘷捦ㅥ㤷挰㑣户㈵愳㕤搱攵收戸㔴㍡扥㍣摥㠵㕢㕦㌳㥤ㅥ㠷〰愹㙤戵戹㙣摣慡扡捡㥥㐴㈶愹㑥〰㈴っ㜲摡㙢慥慢扤攷捤〷㘶㕣㝡晤㈹つ愷㜵づ㍦㐸ㅤ㙦㌷攴挵㕣っ愶昸搳㙤㥣〱愲㝡㈱挶㑢つ捡戹㠷㜱ㄶ敡挶ㅡ㤲戳㐱㜰挱㤰㈹挰昵攲ㅣ慢慡ㄸ㤰昱㥡㘱㥣㑢㜲ㅥ㠸摡ㅢ㠴㘷慣㜱㍥㠸㜳愸㤵戰捦㠵㈰㤳挹〸㉥㝦㌲㉦〲㌷㙣っ搰愶㉡㈰挱〹㌵〸愰㐱挸っ挲愵㘲㌰散〹㠰㘹㌷攴㠵㝦晢㐰㑤〰戸㤲晡敤㄰昳〶㘰㉤晢戸㥡㘴ㅤ㠸〶挰㌵㔶㔵㌱晡ㄳ〰慥㐵挱戸づ㐴㝤〷㐴〰戸ㅥ〵攷㔰㐷愰㡦㍥〰昶〳㍢ㅦ㠰㥢挱つㅢ〳戴㈹㐶㤳㕥〰㉣㉣〴挰〲扢㈱㉦昰ㅣつ㑢〲挰㥤㈸愸㜹〵〱戸ぢ捤挶摤㈴昷㠰㘸〰㙣戰慡㡡㤱愷〰㜰㉦㠵敥〳㔱攳㐰〴㠰㕦愱攰ㅣ慡㔹〷㘰㉣搸昹〰㍣〸㙥搸ㄸ愰㑤㌱㥣昵〲㘰㑡㈱〰㈶摢つ㜹㤱㙦㌵㉣〹〰扦㐳㐱㑤㉣〸挰ㄳ㘸㌶㥥㈴昹㍤㠸〶挰ㅦ㔰つ㍤㑤㘲摤敦㠴〳慡〶㌵挱㘲㈳ち挶㈶㄰㌵ㅥ㐴戰㜸〶〵攷㔰攳㜴㉣㙡挱捥挷攲㜹㜰挳挶〰㙤慡づㄲ㕥㔸散㔳〸㡢㔱㜶㐳㕥戸㍥〹㤶〴㡢捤㈸愸㡡㠲㔸㙣㐱戳昱㉡挹㙢㈰ㅡㄶ慦㕢㔵㌵ㄹ摦〲挰ㅢㄴ㝡ㄳ㐴㌱㐰ㄷ〰晥㡥㠲㜳愸摤㜵〰ㄸ搹攷〳昰㉥戸㘱㘳㠰㌶挵戰摦ぢ㠰昲㐲〰っ戵ㅢ昲㌲〴昵戰㈴〰㝣㡣㠲ちㄷ〴攰㔳㌴ㅢ㕢㐹㍥〳搱〰昸摣慡慡改昸ㄶ〰扥㐰挱昸ㄲ㐴㌵㠲〸〰㕦愱攰ㅣ㑡改〰㌴㠰㥤て㐰ㄱ慥㤵㘱㘳㠰㌶搵〴㍤㉦〰㍥晤慡挰昵昰ㄳ扢㈱㉦㐳㌱ㄳ㤶〴㠰㌲㜴慡㍥㠲㤸昷昵戰ㅣ捤挶㌰㤲攱㈰ㅡ〰㍢㔹㔵挵散㠵〰戰㌳㠵㜶〱㔱㑣㘱〸〰㈳㔰㜳づ昵づ晡㜰慥㠷愱摤搰㔲摣㕣㍤㈱ㅦ㠴㤱㘸〹ㅢ㙣㉦搰愶收挰愴ㄷ〸㕢ち㠱昰㡡摤㤰㤷㐷㤹〷㑢〲挲户搱㥤㝡戹㈰〸晢㜰㌴晢㤲散〷愲㠱戰扦㔵㔵昳㘱㐸㐰㌸㠰㐲〷㠲愸㠵㘰〹〸愳㔱㜳づ昵㥣づ挲㔸戴ㄴ㌷搵㑣捥㜷戴ㄲ㉤戸㉥㠲ㄶ㘸㔳㡢㘰搲ぢ㠴㈷ぢ㠱昰㠴摤㤰㤷摥㘹㠵㈵〱㘱㈲扡㔳扦㉢〸挲㘴㡥㘶ち挹㔴㄰つ㠴㘹㔶㔵㉤㠱㈱〱攱㘰ち搵㠳㈸收㝦〴㠴改愸㌹㠷㝡㔰〷愱ㄱ㉤㔸〹㜵昹㡥㌶愳㈵㙣戰扤㐰㥢㍡ㅣ㈶扤㐰戸扢㄰〸㜷搹つ㜹㐹㈸㈶㤲〴㠴㜹攸㑥摤㔹㄰㠴〵ㅣ捤㐲㤲㐵㈰ㅡ〸㉤㔶㔵ㅤ〵㐳〲㐲㉢㠵㤶㠰愸㘳挰ㄲ㄰㤶愲收ㅣ敡㘶つ〴㐳戲㔷摤㘸挳㐵㘲㥢㈳㘲ㅣ㐱㥢〳戵愹㌶挸㝡〱㜰㜵㈱〰搶摡つ㜹挹戰㘵戰㈴〰戴㜳挸㔷ㄶ〴挰㐴戳ㄱ㈳㔹捥搱昵摦㈰挶慤慡㙡㠷㈱〱攰㔸ち慤〰㔱㈶㔸〲㐰〲㌵攷㔰ㄷ改〰㌰户㤶㍦换㉢㘹搳ㄸ愰㑤挵愰攷〵挰㥡㐲〰㥣㘵㌷攴愵改㤸㙥ㄳ〰㝡㌹攴㌳ち〲㜰㍣㥡㡤ㄳ㐸㑥攴攸晡〱㌸挹慡慡㘳㘱㐸〰㌸㤹㐲愷㠰愸〴㔸〲挰愹愸㌹㠷㍡㔱〷㠰㌹扥㝣〰捥愰㑤㘳㠰㌶挵㉣愰ㄷ〰㤹㐲〰愴敤〶㜷挲㌰挸〴㠴㡦㐴㑦ㄹ〷ㅣ㕢ㅡ㌷㔷㌳㌲ㅤㄶ挳㘶㥢戵㥢挰㘰愹㍣搶㥣㥡㥦捡㘲户㘶㘵㈲摡扢㑢捣㉥ㅣ搶㘹㜶㈱挹㤵㐶慥换挵㑢慤㕣㠹㥤㠶㔸㑢慡㍢摤㙥捥㙥晥㑦㐸㠲挱㍦㑣㥤攴扦㡡ㄴ㡥ㅤ换敢㈰㐵慢戰㑡㜰〴㠲㘹ㄸ㜴㠷攷戲攵愷愵搲愴挸㜴挸昰㝥㐴㕢攳搹㠴㔹ㄶ㤳㌴㤶㤴㑢㘳㐰ㄱ㤹挳㡥㈱戱搶㑥㠴慤捤攵戱㔹改㜸㐷㈲摥㘵㜲㌲㐶㔸愲㜳捤攵挸ㄲ㉥㑣㘵攲摣愵㉡㡦戵愶愳㕤㤹㤵㑣㜸戴昷敥㥣㔳㤳捣㐸㌰搶ㄸ敦捡愰ㅢ搹ㄳ㘲㜹㜸慣愵㌳戵ㅡ㥢昵摤挹慥㔹搱㤵㤹晦㠸㔹改㍦㠳㘴㙡㔴㤱㉡㉡㔲愵㐵愵㍢㍡㍦愱昳㘱㜱昷晥戴㍣户ㄸ戳改昸戲㙥㠲挶㈵㄰攰㑤㝥〹㠹捣㘳㈰㤸㐱挹㥤摥搰愶搱㤵㥢攴㜸㜳㌶戱㍤搳㘴㝤㑦㐱㐸㉥昰〲㈸つ晤〹挸㥣㔹㑢㘶昷㘷敤晦㑦㡦㈳〴㤹〱摣敥㈴㈹慦㠴挳慣㘵挴挴㈹㔷ㄵ捥㑥慣〶搶摣㑢㌳ㅣㄳㄹ慥搲㘱晤挵㤹挸戳つ㡤捤㡤㉥㌳ㄳ㐸て㈶愳搹㘱㔶㠵㜹摡㘴㌴㤱戱摢㥡㔲挹㘴㤴换㡥㥢敥㉤搸散㌳㑢㘳つ摤搹ㄴ㜶戲㡤ㄸ㠸慣㑤㥢ㄵ敤〱㉢摡㘳㈵昲㘲㡢戹㙤㈰㘵摡㑡㉤㡦愶攳搹捥㘴扣扤㤴ㄵ愶昶晦㈳搶㉢慥㈱㈵〰搳㌹㥣敢㠹㍢㌳㘸攵攷㌰摤㤵〸㉥〹ㅤ愷ㅦ慢扡㐸㠵昰㥦摡挱慣㌲慥㍥昲愳㘲㕣〴㙢挱㈲っ㠲㤷㈳㌹摥㜷ㅥ捤㜹摦晡攱挲〵㑡慤愲〰㍥挶㑦㐱㔹攰愷㠴㜹搹〱㔳㡥㐳㈰㄰㥥㥢㡡㜶捣㡣戶攳〱㥡㈱昶攳㌳愵㤸㕡㕥㙥搲ㄱ㈶㠱㥢戰慦㠰晤㡡㔵昱づ㌳㕤㑡㐶ぢㅥ昱㈹㘱晡㌸㘴捤㈱㙥〳㡢〳挱㘰㔹愹㔷㕦戳ㅤ㕢晢摡愹㌵晤ㄱ愲搹㜹昶摦㕤㌴㠹ㄱㅥ㑥㔸昹㤹扡ㄸ㝥ㄸ㤷搰愷ㅥ㌰改㡦㑢攰㔲ち㕣〶ㄲ散㐵愳㝢㙥㜲昳戱挸摡ㅡ㄰㉡攱敦㕣〹㌳挵愵挸慡㑡㡡㌹㈸㡥㜰愷捥㐹㌰㠷慣慣㜰愹昳㌴㑢愸〵慢摣散〸㕢搷㔸愶愰㌹ㅤ㐵㐵㈵㤸敡㤰㝢㕢㉤慦㕢ㄸ㑢戶㤸㤲㌳㔶㍢㘳〸愱换愱㕣捥㤳〵昶摢㉡㉡昸っ㠷晢㈶㌲ㅣ㌶慥㠰㔴㈰慣㤸㍡㜵㕣摦㤳ㅣぢ㥢㉢搱㙡㕣〵愲捥〰㤳㌷〱昶㑦㤶戱ㄶ㑣慥ち收〴昹搳ㄵ〸㕤つ捥〸㝢愳㜴搰敢愴㕡〳ㄵ㕥㉢㡤㜵戴㝥㌶㑡扣〴昵㉤挹㙢挰ㅤ㝣㐹㥥㐳つ㝣㡣㙢㘹挴慥㈸㈶ㅦㅤ㕦㔰㜴㝣戹づ〲挶昵ㄴ㍣捦㕢攰〶ち摣㐸〱收㉡㌹搷愱㥢㔰㉢㜳㌰㙣慡ㅥ敦㠵攰㉤㤰〱㠲ㄷ㘹㐶㌵〴㙦愵搱摢㘸㤴戹㐵つ㐱晥攸㉢㈶ㄴ㉤昴㝥づㄱ㍦㍦㌴敡㙡愸ち㠰户搳昸㍡搴㜲〰㕣て敥攰〰㕥〳㌵〸〶㡣㍢㘸挴慥愸㙢㔱昰〰昰㑥〸ㄸ扦愴攰㜵摥〲㜷㔱攰㙥ち㕣て〱〱昰ㅥ搴㐶㍡〰㔶㔴戸㥥㠹昱㔸㡦ㅢ愰〰㌴㙦搶㝡攰捤戱扤ㅥ敦㘵て昷戱㠷㍢挱㜴愳㜹ㄷ㜸ㄶ㥡扦㠲㠸㉦㌴敦㠶慡愰㜹㍦㡤摦㠳㕡づ㥡て㠰㍢㌸㥡ㅢ愰〶挱㠰昱㈰㡤搸ㄵ㜵㉦ちㅥ㘸㍥〴〱攳㘱ち摥攷㉤昰㙢ち㍣㐲〱㈶㑥〵捤摦愰戶㑢㍦㥡晤て昷㜸〰昹㈸㘴〱攴㠳㥡昱㍤挸戱㑥散挷㘸晣㜷㌴捥㠴愷〶愴昱㌸㤸㕣㥡捣㜴㕡㘰㍥〱捥㉥搶㐵㘹昰昳晡㐹愸〹㤰㑦搲㌸㤳愴㌹㐰㍥〵敥攰㐰㌲㤹ち挱㠰昱〷㔰晥㌰挹㡦搳㐶ㄴ㍣㠰㝣ㅡ㌲挶㐶㄰挵ㄴ慢㠷挰㈶ち㍣〳ㄲ㝣〶〲㠳㕥扦挳㄰晡㥡慥摦㐳㘷㘷㕡捣ㅦ㜴㘳ㄳ㌱ㅥ㑤㌸ㄷ昳㘲㙣搲昹扡㥡㝢晤攴昵摤ㄲ㕡搷晡㘷攱摤㙥捥挲㜰㍤愱攵戱㌶㥥㠳㜸挰㜸㥥㔴㍤て攲㠰愶㕤户晥㠴㐶攳〵㄰戵ㄹ〲摡〲㤱敢搶ㄶ昰慣挵昱㘷㠸昸㍡搳㕥㠵慡㉣㤰ㄷ㘹晣㌵搴㜲ㄶ挸㑢攰づ扥㐰㤸㘱㠶㘰挰昸㉢㡤搸ㄵ挵㌴戳攳ち㡡捥㕡㝦ㄹ〲挶㘶ち㌲〵敤㈱昰ち〵戶㔰㠰㔹㘹㌹搳㕥㐵慤敦扡㤵昷㤸㤹〷愴㝦㠳〲㑥㌷愶愹㥤ㅥ戴敢搶敢散攱つ昶昰㌱〴摣㘸㝥ち㥥㠵收㥢㄰昱㠵收㔶愸ち㥡㝦愷昱捦㔰换㐱昳㙤㜰〷㐷㤳改㙡〸〶㡣㜷㘸挴慥㈸收慣ㅤ㔷㔰㜴搰㝣ㄷ〲挶㍦㈸挸㝣戶㠷挰㍦㈹昰ㅥ〵㤸攲ㄶ㌴摦㐷㙤㠴戳㍣㜱㉢搲晦扣㥣〷㤲ㅦ㐰ㄸ㐸ㄶ攱换戱慥㈱昹㈱搸挶㐷㈰慡っ㐴㤰挴㑤〳〶㈷敢戲ㅣ㍣ぢ挹㡦㔱摡晥扢㤱㘱㤰ㄶㄸ㍦㐱㐱つ〷挹㠱㜱㉢ㄸ㠳挳戸ㄳ㜵㌱㜶攳㌳扢挰㡡㘲收摢昱〳㜵〷挶㝦㠳㙤㝣㑥挱㕤扣〵扥愰挰㤷ㄴㄸ〱㈲㌰㝥㠵㠲㜶㌷㔲敢㜵㌷㈲㤷捡戰ㅡ〹㔱愷搷㍤晡㝢㔵戸㤰ㅡ㐵㈰敡摢㄰㜰愳挷㑣戶㠵㕥㌱㐴㝣慤挳㝤愱㉡〰㤶搰㌸ㄳ攱㌹〰㠶挰ㅤㅣ挰晤愱㠶㝦㜸㐶㥦㐶㔰㤰て戳收㡥㉢攰㌹〰㤶㐲挶攰㜳晦㡡ㄹ㜵て㠱㌰〵捡㈸㌰ㅡ〲〲攰㔰搴晡〰攴ㄳ㡥ㅥ换㙦ㄸ㘴戰晣㉡㌵愳摡昲ㅢ㑥愳㝣挱㐰㌱㈱敥〶㜰㌲㜸ㄶ㠰㍢㐱㘴晢㤷摦ㄴ攸〹㝡㍢搳昲㔴搴㜲搰ㅢ〱敥攰攸㑤㠳ㅡ晥〵㡣㕤㘹〴〵昹ㅣっ敡〱捥㙥㤰㌱㜶愷㘰扤户挰㐸ち散㐱㠱改㄰㄰昴昶㐴慤て㍤㍥挰改㠱摥㕥㤰〱㝡捤㥡㔱㙤昹㝤㤳㐶扦㐵愳昳㈰攰扥っ㉥〰捦㐲㙦㙦㠸昸㕡㝥ぢ愱㉡〰㔶搰昸㈲搴㜲〰ㅣ〵敥攰〰戶㐰つ晦〲挶㍥㌴攲〰搸㡡㤲〷㠰晢㐲挶搸㡦㠲㑢扣〵扥㐳㠱晤㈹戰ㄴ〲〲攰〱愸㘹〰㔶㝢〱㌸ㅡ㌲〰昰〸捤愸戶晣挶搰攸㔸ㅡ㘵㈶㕥〳搰ㄸ〷㈶㙦摢㤸㠲户㐰慣〴㘷晢㤷㘰っ㝡㠲攰㜷㘹㝤㌹㙡㌹〸㔶㠳㍢㌸㠲㑣昳攳ㅦㅥㄷ愷ㄱ〷挱㘳㔱昲㐰戰ㄶ㌲挶㜸ち慥昰ㄶ愸愳挰〴ち㜰㙢㐰㄰㥣㠸摡㔰攷㠷㐴㥥攵昵㔸㠳㤳㈱〴〸㔷㙡㔶㤹㜲户敦㝣愷搰敡㔴㕡敤㠵〰㈱挴㐳㡣晣〱㌱づ〲㤳㄰ㅥて扥〵攱㌴㜰㐲㜸㈸ㄳ挹㈷挸攵㈵晢搴〹㤰ㄴ搰づ愶扤ㄳ㔱换〱㙤㍡戸㠳㠳㜶ㄲ搴昰㉦㘰㌴搰〸ち昲㌹ㄹ搴〳戴㐶挸ㄸ㑤ㄴ㍣挵㕢愰㤹〲㌳㈸㜰㉡〴〴戴㤹愸昵㐵つ挸㍦昴㍤㈹散㠱摤㈱㤰〵㜶㘷㘸挶戵昳㜷㌶㡤捦愱昱ぢ㈰㠰㝦〱攳㔰搶㔰㈸挶㈷㜸ㄱ㑡敥晢敢扣摣ㄵㄳ㕥攱ㄸ戳㔸㉤搹摥〴㌲㠷㉣㌲㕦㘲㤵㤸昹戱㥡㤱挵㐹愵㑢㔴愰挴晤搰㘳㥦㙥ち愶捡㐶戸ㅥ㈸ㄵ㌵戶晣〴愳〹摥昵㘵晥㐳㤳㝤晡ㅣ㜸晦搳㘵搴攱ㄱ㥡〷㥦㐶捣㡢户愷㔳㤹㔴㉣㡢捣㐹㔷愶㠲て攸㘲㍦愹慡㈱㜸㈷㉣㝡昶㐹挷㑡扡攰㐸㜰ㄵㅦ㔸ぢ慦攸㑡慤敥㤲搱〴㌳㝣㑥㤹扤ㄹ㐳㠶戰ㅢ挶ㄸ㜲散〳昰㈲㍦㐵ぢ㤵㡤〵攸戸扣㌸㜲㌱㈵㜱㐴㉥㜱ち㑣㐱〹攷㌲扢㄰扣〲㠵敤㡤㈲㘸㕢㉤挳㈵愳㐳㤹㈵㐳㠶愸晤㕣㑦挳收攵㤲晡ㅥ㈷っ㠵㜶㠶㙥㜰㍤㕣摥㍥㈵づ慦ㅦ㔱㉡挳㈵散㠷㠲ㅡ㡢㐱挲㤱㉢㈱挲挵ㄲ㙡㐱㜵愷愶挶戶摣ㄷ戳㐲慤㘰て〵㕢搲㘵㜸攳㉢ㄳ㕡〲捥㌰㜰戴摣㜹攴㉡摢㡡戱ㄴ㡤昲愶㤲扣戳愴搶㠲捦㌱ㄸ摦〳㥦〵昹慣㜳戸㐷搸㕣づ㐰㕤〳㉥㔷慣扡ㅥ敥㜱㥤㠰ㄹ㌰㌸昹㥣㘷㜵㉤㌸㥣敢摣戹㘲愶㐹收敡ㄸ挸㘱慥慥㐳㥤㐷攴㝡愷㜰㠳㔳戸搱㉥愸㕢㔰攰㝣愹㥦挱ㅣ戱㘴㠳昱㝤ㄸ㌰愲㈰攱挸慤㘰㜰㐸〶㌱㌱㠸㠰㐱愷㈳捣ㅢ〹摦㈴敢㥢㤴搸ぢ㐴摤㑥㘳慣㜵㠲捦㠲昸戳ㅥ㈵昱攷㔲㜴㤱敦捦挵攰收晢㜳〷㤴挴㥦〴㑣挱ㅦ㈶㜹㜸㐴㝥改ㄴ敥㜲ち㜷摢〵戵〱〵昱攷㈲摢ㅦ愸〶㡣㉥㡥㌱〵ㄲ㡥摣ぢ〱㉦㝦敥㜳昸ㄹ捡敥㑢慤㝤㐰搴晤攰攳㕦挰㔸〵㍥ぢ攲捦〳㈸㠹㍦㙢㍣晤㌹搳搳㥦〷愱㈴晥ㅣ〷㔳昰攷㈱㥡挳ㄱ㜹搸㈹晣摡㈹㌰户挲㐳㍤㡡㠲昸㜳扡敥捦〹ㅣ攳㠹㈰攱挸㘳㄰昰昲㠷〹ㄴ攱㥦㐲搹㌱戰㈵敦㕦㈹收㔰昰㉦㘰晣〸㝣ㄶ攴昳愴挳㍤㕤攷㌲㈳㈲㕥ㅥ愷㜹ㄹ㍡ㄳ㈲〵㉦㐱慡挷搳昵㍦挰㤲戸扥㠶愳㌹ㅢ愴扣㈸挲散〸㡦挸㐶愷戰挹㈹㌰㈵挲㐳㍤㠷㠲昸摦㙤晢ㅦ〱搷㌸㠷㔶捥〵〹㉢㘶ち㈸㙣㥣㠷㙡㍢ち晣㐴㤸㈲昰㐲攵〵㠷㝦㈱㉤搴㔰慦ㅡ㐴扤攸㔸戹ㄸ㝣㥡愳戲㝡〹㈵昱晦㔸捤晦晥戳戰搳搳搵扦㐲㐹㕣扤ㅣ愶㌰换㉦搳ㅣ㡥挸㘶愷昰㡡㔳搸㘲ㄷ搴摦㔰㄰㉦㘳戶㤷㔰つㄸ㔷㜰㡣㔷㠲㠴㈳慦㐳挰换㥦㌷ㅣ晥㍡捡㑥愶搶㈴㄰㈵㈱㌷㙢搷㠲捦㕥挴ㅦ㠶摣攲捦㔱㥥晥ㅣ攱改捦㍢㔰ㄲ㝦㙥㠴㈹昸挳㈰㥢㐷㠴㠱戶ㄴ晥改ㄴㄸ㔹昳㔰㡣㤳挵㥦挳㜵㝦㙥收ㄸ㙦〱〹㐷㍥㠴㠰㤷㍦ㅦ㌹晣摢㈹㍢ㅤ戶攴㠵㌶㈵戱㉦㙢㜷㠰捦㕥挴㥦慤㈸㠹㍦昳㍤晤㤹敢改て㈳㘰昱攷㙥㤸㠲㍦晦愶㌹ㅣ㤱捦㥤挲ㄷ㑥攱㑢扢愰昸㑢㈱晥捣戱晤㘱㠳昱摦ㅣ攳〶㤰㜰㠴挱慢㤷㍦㡣㘷㠵㝦㍦㘵昹挸㤹扣㍡愷㈴ㄴ㘵敤㐱昰㘹㑣晣㘱㈸㉡晥㑣昷昴攷㘰㑦㝦ㄸ㤰㡡㍦㡦愰〰㝦ㄸ㝣昲㠸㌰〰㤵㐲搸㈹㌰攲攴愱㠶愱㈰晥ㅣ㘴晢挳〶攳户愰挶愳㈰攱〸㘳㐹㉦㝦ㄸ㕥ち晦〹捡昲改㌱㜹㌹㑦㐹㜰挸摡㔳攰昷昹挳攰㔰晣愹昱昴愷捡搳㥦㕤愱㈴晥㙣㐲〱晥㌰ㅣ攴ㄱ㘱㐸㈸〵挶㝦㔲㘰っ挸㐳敤㠵㠲昸㔳㘹晢㈳昳昳㉣戸挶ㅦ㐱挲ㄱ㐶㜷㕥晥㌰攰ㄳ晥ぢ㤴㕤〲㕢昲㌶愰慡㐰㔵㙣晣挵㉥㔰㐸㌱㔶ㄳ㝦昶昵昴㘷㤴愷㍦㡣搸挴㥦捤㈸挰ㅦ㐶㘷㍣㈲晢㌹〵㠶㘳挲㘱㐸挶㐳㡤㐶㐱晣愹戰晤㘱㠳戱〵搴㜸ㄵ㈴ㅣ㘱戰攵攵て攳㉦攱扦㐱㔹㍥搳㈵慦ㅡ慡㜱愸㡡㍦㙦搹〵㔶㤴挴㔳㤴㜹㕢攷㌲㥥ㄲ㉦㜷搵扣っ扤ぢ㙥攱慢晥㉥㥥慥㌳搴ㄲ搷晦㠹〲㕣慦挵ㄷ㡦挸㜸愷㔰攷ㄴㄸ㑢昱㔰㡣㤰挴昵㥤㙣搷㘵搸敦㠳㙢晣ぢ㈴ㅣ㘱㤰㐴ㄷ㐳ㅦ愰攰㜱㤳昶㈱搸戹㌷㘹ㅦ㠱攳扥㐹㘳㤴㈵㐰㝤㡣㠲扣㈶㘹㉣㘳昷〷愱㉡㍤㙥戵ぢ〲㤴挴㔰㘸㌶㍥戳戹㔴㔵搳㔱ㄱ愰㐲ㅡ㔰晤㍦て㈵㥥㤸㌴㐰㐹㌰昹ㄲ〵㘰挲愸㠹㐷㠴㤱㤳ㄴㄸ㈶㐹㘱㠶㕤㔰㡣㝣〴㤳㈲ㅢㄳ㌶ㄸ摢㐰つ㍡ㄱ㡥捣㐶㔱扣㘹㈱慦㤵㘴〹㐸㘴㡥挳㉦㐱慢㜱㉣戵昸戸㔸㠴㤱㤱っ㘲〸昸攵挵㐱摥摣㑦㜵摤㜹㝢㍦ㄹ㌲挶晤ち摦っ扣㤲搷ぢ昵㐰㌱戶挴慤㡤攴㤲愲㈹㍢㘶㡢昷昶㝣㡥㠴㥦攰搶㉦戶㙤晢㍦搸攱扣昵摦敤搳攲摥昸ㄸ晣扢ㅢ挳ㄷ㘱扣㈱搴昸搱㡥昷敢敤捡㜴敢扢搴晥㡥搸摦㈳愶て㕦散㘸ㅥ慤扥㝤㘱㐳昰㤵㤳慥晥搷㉤㔳昷扢敡ㄷ摢散敦㤳愸昹昷攵㤳ㅢ昸㝤挱㤴㠳攴㝢㔲㜹㝤㠳㘲㌰挰㜰搵㌸㠵攴㔴㤲搳㐰搴㠷㜰搳昳㡤㤰て散〶昷㉢㌱㤱敦挱㤲㑣摥㜰㤹扣〸〳〷愹㐷愴慥㜸昷捦〹㔵敦挱〲㔱ㄴ挷㜷愶攳摦〷㍢㠸㕥户摢昱攱㔱㐷㘳㈰㠷〳㠱㡤㌶㜴慦搴㉢ㄳㅡ㕥㡥扥㕤挸搱户散㠶〶搷㕦㍥㠸㌰㠲㄰挷㐶㕡㡥㌱っ㄰挷摥搴ㅤ摢㤳㡥㜵愱㘹挷㘶㌴攵㘸づ攴攰挲ㄷ愳㌲㤳ㄵ捦户换昷晢㥢捣〶㤵㠱愶㤷愳慦ㄶ㜲㜴㡢摤攰㝥挵㈵挲搰㐲ㅣ慤戰ㅣ㘵㝣㈰㡥㙥搶ㅤㅤ㐵㐷㑦㜰㠶㡢㔹搴㡥敤㔸扡っㄷ〴愲㠱ㅣ㍤㙢㜴㠳㌸戸㜱攷㈶昹ㅥ昹㜹㜳㠳㍡〵㥡㕥㡥扥㔸挸搱㍦摢つ敥㔷㔹㈲㡣㌹挴搱〳挴搱挸改㑥晤㐰换昱㌵愸㡢攳捦敢㡥㡦㐱愳㍡摢㘹晡愳摤〴㘶挰ㄸ〷㍡㥣搱〰㙢〵㔷昵㜰㠶ち㈲㔱挸昷挸㜹㤰㘸愷挵㑡挸ㄹ摦㈵愹㈲愹㈶愹㈱愹㈵ㄹ㑦㔲㐷㌲㠱㘴㈲挹㈴㤲挹㈴㔳㐸愶㤲ㅣ㐴㌲㡤攴㘰㤲㝡㤲改㈴つ㈴㡤㈴㑤㈴捤㈴㌳㐸㘶㤲捣㈲㌹㠴㘴㌶挹ㅣ㤲㐳㐹收㤲捣㈳㤹㑦戲㠰㘴㈱挹㈲㤲挵㈴㉤㈴慤㈴㑢㐸㤶㤲ㅣ㐶㜲㌸挹昷㐸㡥㈰㌹㤲攴㈸㤲愳㐹㡥㈱㘹㈳昹㍥㐹㤴㘴ㄹ㐹㍢㐹〷㠹㐹ㄲ㈳㔹㑥搲㐹ㄲ㈷㌹㤶㘴〵㐹㠲㈴㐹搲㐵㤲㈲㔹㐹昲〳㤲㌴㐹㠶㠴㝦㉣挹攸㈶㔹㐵戲㥡愴㠷愴㤷攴㌸㤲攳㐹㑥㈰㌹㤱攴㠷㈴㈷㤱㥣㑣㜲ち挹愹㈴愷㤱晣㠸攴㜴㤲㌳㐸捥㈴㌹㡢㘴つ挹搹㈴㍦㈶㌹㠷攴㕣㤲昳㐸捥㈷戹〰㐴㕤㠸㜹昷㕡摢㠹㐲㙢㝢㠵摤攰㝥㌵㈹㜲㌱㉣挹摡扥〴㜶换㡢搵攵愸换㕡㡥敢㙢昹㌲㌴づ㘷㘰户㘳㔷慢㉢ㅤ捤㐲ぢ㜹挲㌱昷捤ㅥ㕡昴㙣晤摥愷扦戳㘸挳户㥥慢㉦扤㙤慦㈳㍡愶晥愹㕥慤㠳愶㤷愳ㅤ㠵ㅣ㙤户ㅢ摣慦㈰㐵ㄸ㔲㡡愳㙢㉤㐷ㄹㄷ㡡愳㔱摤搱㜵㜴昴㘶㘷戸摡愵ち挵敤戸㕡摤攲㘸ㄶ㜲㤴ㄶ㝢ㅥ㥢㈳㔷愹慡㠷攷挹㜷昶攸㠵つ敡㜶㘸㝡㌹㝡㔴㈱㐷㡦戴ㅢ摣慦ㅡ㐵敥㠰㈵㜱昴〶换搱扢㔱ㄷ㐷扦愷㍢㝡ㄳㅤ㘵㈸攸敦㠷㤵㜱愳㘸ㄴ㜲㜰挳户㌸㠵て搴搷捡昱㐸扤扡ㅦㅡ㕥㡥戵ㄶ㜲慣挵㙥㜰扦㍥ㄴ㘱搰㈹㡥摤㙥㌹挶挸㔱ㅣ㕢愴㍢戶㥥㡥晤ㄶ㑤㍢戶㔴ㄹ㐸づ晡㝢ㄳ㜸㘵攵㜴捥㘴攰愱戴昵扤㉥㍢㕤㍤〱㑤㉦㐷攷ㄶ㜲昴㔰扢挱晤㡡㔰㠴搱愸㌸㝡㡦攵攸㈶搴挵搱搹扡愳ㅢ攸攸戳㘸昲㌷㠳㡣㉣〷㥣㐱㜱っ户㐶㑦晤㥥挷㑢昵㡡㐱愶㤷㘳捤㠵ㅣ㙢戲ㅢ摣慦晤㐴ㄸ㤶㡡㘳て㔸㡥㌱戶ㄴ挷ㅡ㜴挷ㅥ愲㘳㕢搰戴㘳㌳挸㔰㜳挰ㄹ戴ㅣ晢扤㝤敦户戱晥扦㉥攷戱愹㕥㌱晡昴㜲昴愰㐲㡥㑥戵ㅢ摣慦昷㐴ㄸ慦㡡愳㡦㡡愳㤱户㥤晡㘳㤶攳㡣㉣挵昱㐹扡攳㡦搳㜱挶㡣晥㘶㤴〱收㜶捣攸㉢昵㌱㌹摥愸㔷㡣ㅥ扤ㅣ慤㉤攴㘸㡤摤攰㝥㡤㈷挲㜸㔳ㅣ㝤摡㜲㤴㤱愶搴㌷㕡㡥㌲㕣ㄴ㐷扦慢㍢晡っㅤ㘵㈰戸㘳㌳ㅣ㠰晡㠰㌳㙣捤攸攳㝤㌳㙣㕤㡣㥥慤㔷っ㈸扤ㅣㅦ㕤挸昱〳敤㠶扣搷㜷㠶挰搲㘰慦敦㘸㝦ㅡ㘷㌸捥慡㘰㡣㝢㜲㘵㌱㡢捤愸ㄱ扢㜲昱㐴㐲㌶戴㠶攲㐹晢㌴晥㌸捤㕣扣㔴㠲攷敢昱户敢散㕤ㅣ扣㙣挲〷㤷㥤㘷戹つ愹㔱㌹ㄴ㕢㤰挶挳摤㐳㘲戳㌳㜸ㄹ愸愳ㄴ㝦㕣㈳㥢挵摦扢晢㑦㜸っㅦ㕢㡣捣ㄵ攲戰ㅥ挰昷摣摤攳戶摤〰㙦㐸昴攳攱晣捤㤹㈲㍥愰扦㘳敦〵㠵㕥挰㝣改て㐰㜴㘸慦㥤㤴愸晤㌱捤搶㑥捥挹㠱㙤㌲敥㐰㔱挰㜸㤱敢散㉦㈰挵昸挳ㄱ㤲㕦〱〹ㅢ㉦㠱㈳てㅡ〸〹〴つ搴摤づ㜲捦㜵㈶ㄱ㜰晤昵㤸戲㌲㘷㑦㤴扤愸攱㔰㤵搳㘳㤴㝤㝡㌰攲㉦㉤㉡㔶ㄱ㌴㜰㠹㠵㌶搳戸昳っ㜸敥愰㉢㍣〷扤㠵㕡慦㠲攴づ晡㌵㜰戴㐱慢㥤㔹挷挷㌹搴㐸㔴愴挷搷㔱㈸㡣搴㥥㥥㥤扥㐹㙢㐴慡ㅦ愵户挸攲㝥戸㠵㤲摡㤳㜵㑡搸㠷慡㐰㐵㍡㝣〷㠵挲ㅤ㡥昰散昰ㅦ戴㤶摢攱㝢㘴㘹ㅤ㡥㘲ㅤㅦ攷㔰〷愰㈲㘰て㜷㠱㝤㈰ㅡ㘴㈴ㅦ愰攰㍣㤷㥢㡢㜵戹攷㈸㍥㠲扣㐱慣晢摤晥㠴㉣㙤ㄴ㘳㔸愷㠴㝤〴挷愱㌲搱㤵㘸捡摤㉥戶ㅥっ㤶摤摡㌱㔶搹㝥ㄳ㈱愳㘰愴㍦㍢挴扤㘰㜲㠲㤵㌰改㍥㤱ち㥡㤴ぢ愷昵挷㜹㡣攴っ晢㡤㥥愰晣㉤慥㔲搶昹㐷戹㠲挹㤶慣戹戲㉣㘹昵捥㡢㡤㡣扥㈴挴㘳扣捦挱㔳㕤晥㤲づ挷㙢ㅤ〷㑣户扥户摡攷㥡㜳㘷敤搴户㙥ぢ㤶〲昰ㅤ敡挹ㅢ㈳昵㕤㘰㐴㥣慣㘳昴㜴敢摢改㌰㝦〰㙡〸〶挰㐱搰㥥慡昲慢ㅤ搲戵ㄹ㡤昷昷㍤㜶昰扥㠳扡㜶㡤㕦敤ㄲ㕤㥢昱扦慦扥㡢㜵㙤㈶づ晡戵㉢〷ㅦ㜹㤱慥捤㡣㠳㉦㙤愵㙢㑦昰慢ㅤ搰戵㤹攳昰搵昷戶捦戵昹㥥㤴愳㕤㌵戸摦㕦改摡捣慡昴昷扤ㅤ摡㕦敡摡㔳晣㙡㝦愱㙢㑦昵慢晤戹慥捤〴㤰慦㤱晦㕢搷㘶收愸㕦扢㝡㜰搴㍥搳戵て昶慢扤㔵搷㘶慥捡㔷摦㥦敡摡搳晤㙡㝦愲㙢㌳㍢收慢敦㡦㜵敤㐶扦摡ㅦ改摡捣挷昹敡晢㐳㕤㥢㠹扣㝥敤㥡挱㘷散〳㕤㥢ㄹ㐰㕦摡晦搲戵㘷晡搵㝥㕦搷㥥攵㔷晢㍤㕤晢㄰扦摡晦搴戵㘷晢搵晥㠷慥捤昴愸㉦搴摥搵戵て昵慢晤㡥慥捤㠴㙣㝦摦戵㠳捦昷摢扡昶㍣扦摡㙦改摡昳晤㙡晦㕤搷㕥攰㔷晢㑤㕤㝢愱㕦敤㌷㜴㙤㘶慢㝤愱昶扡慥扤搸慦昶摦㜴㙤收挷㝤昵晤㥡慥捤挴扡㉦敤㔷㜵㙤㘶攴晢戵挷て扥㕡戶攸摡㑢晤㙡扦愲㙢㜳て挰㔷摦㥢㜵敤挳晤㙡扦慣㙢㜳搷挱㔷摦㝦搵戵㡦昰慢晤㤲慥㝤愴㕦敤扦攸摡摣㈰昱㌵昲ㄷ㜵㙤敥慣昸搲晥戳慥㝤㡣㕦敤ㄷ㜴㙤敥攵昴昷㕤㌷昸㕡晢㤳慥晤㝤扦摡捦敢摡摣㍤昲搵昷㜳扡昶㌲扦摡㝦搴戵戹㕦攵慢敦㘷㜵㙤㙥㜴昹搲㝥㐶搷收づ㤹㉦敤㑤扡㜶捣慦昶㐶㕤㝢戹㕦敤愷㜵敤㑥扦摡㝦搰戵攳㝥戵㥦搲戵戹㝤搸㡦摡㠴挱㔷敡敦㜵敤ㄵ㝥戵㥦搴戵戹㘱改慢敦㈷㜴敤愴㕦敤挷㜵敤㉥扦摡扦搳戵㔳㝥戵ㅦ搳戵㔷晡搵㝥㔴搷收㙥慥㉦搴㝥慢㙢愷晤㙡晦㐶搷收晥戱慦扥ㅦ搱戵戹昱散㑢晢搷扡㌶㜷慣㝤㘹㍦慣㙢慦捡搱㥥㌸昸㍡㝦㐸搷收ㅥ㜹㝦摦摢愱晤愰慥摤攳㔷晢〱㕤㥢扢昲扥晡晥ㅦ㕤晢㌸扦摡昷敢摡挷晢搵晥㤵慥捤〷〸㝣㡤晣㍥㕤㥢㑦ㅥ昸搲扥㔷搷晥愱㕦敤つ扡㌶㥦㜵昰搵昷㝦敢摡㈷晢搵扥㐷搷收搳ㄵ扥晡扥㕢搷㍥搵慦昶㕤扡㌶㥦攷攸敦㝢搲攰㘷挹㉦㜵㙤㍥〸攲㑢晢㑥㕤㥢㑦㤰昸搲扥㐳搷㍥挳慦昶㝡㕤晢㑣扦摡扦搰戵捦昲慢㝤扢慥扤挶慦昶捦㜵㙤㍥㕥攳ぢ戵摢㜴敤ㅦ晢搵扥㔵搷收〳㍤扥晡扥㐵搷㍥搷慦昶捤扡昶㜹㝥戵㙦搲戵捦昷慢㝤愳慥㝤㠱㕦敤ㅢ㜴敤㑢愰㉤晢㌳㐷㘲㙢戹昰㑥搱㜵搰挹摦挴㍢ㅡ㍡慥㥤愲㌶戲戴㍤㥡换㘰㕦摦愳㔱㙢㥤づ愳〳㜶戸搶戳挳昶晣づ㑤㔷㠷敢摣ㅤ摥攰㜴戸ㅣ㤲〵戶晢㉥昳散㉤㥥摦摢ち㔷㙦㌷戹㝢扢摤改㉤〹挹挲㜸㕥攸搹㘱㉡扦挳ㅦ戸㍡㕣敦敥昰ㅥ愷挳っ㈴ぢ戸㜷㡥㘷㙦摤昹扤慤㜶昵戶挱摤摢〳㑥㙦扤㤰㉣散摥ㄹ㥥ㅤㅥ㥦摦攱㠹慥づㅦ㜲㜷昸㈸ㄸ戲戱㜸ち㑣昲搱㘵㘷ㄷ昷㌱㘷㈴㈷挳㐴〱扦㑦昲ㅣ挶愹散㌳㜷㘷昱㐷慥㘱㍣敥ㅥ挶搳捥㌰㡥㜳つ㘳愳㌳㡣㌳㘱愲㌰㈰㍤㥥㈳㔹㤳㍦㤲ㅦ扢㐶昲㡣㙢㈴挱ㄷ挱㜰㙦㐸㙡て收攷敥散㜳㠳㙤ㄷ㍣〳㘱晦㉦㉡ㅢ昱㤷〴挷㈴戰㍢扦ㅤ㝦戸昱㕣っ㐴㜱㍢㥥㌶㡣昳㔸㐳㐱㍥摣〶攷㌰㡣昳挹攵敥户挸㕣愰换扣改挸晣㠴摣户ㅣ㤹ぢ㜵㤹㝦㌸㌲ㄷ㤱晢㥥㈳昳㔳㕤㠶摢挰搲搷挵攴㝥攲挸㕣愲换昰㌲㈴㌲㤷㤲换㉢㤰㡣攷㌲㕤㠶㔷づ㤱戹㥣㕣㕥㌴㐴收扦㜴ㄹ㥥敦㈲㜳〵戹㍣搵㐵收㑡㕤㠶愷愸挸㕣㐵㉥捦㑥㤱㔹慢换昰挴ㄲ㤹慢挹攵㌹㈵㌲敢㜴ㄹ㥥ぢ㈲昳㌳㜲㜹ㅡ㠸捣㌵扡っㄷ慡挸㕣㑢㉥搷愸挸㕣愷换㜰〹㠹捣昵攴㜲昵㠸捣つ扡㡣㑣㈵㘷昱㐶㜰㥤㈳挲㈹㘵摤戸〹ㄴ㑦愷捡㘴戲㥥㈳挵㐹ㄵ愹㕢㉣㈹㤹捥㍣㈹㑥慢㐸摤㘶㐹挹㠴收㐹㜱㘲㐵敡㜶㑢㑡愶㌴㑦㡡㔳㉢㔲敢㉤㈹㤹搴㍣㈹㑥慥㐸摤㘹㐹挹戴收㐹㜱㝡㐵敡㉥㑢㑡㈶㌶㑦㡡ㄳ㉣㔲昷㔸㔲㌲戵㜹㔲㥣㘲㤱摡㘰㐹挹攴收㐹慤㜳愴敥戳愴㘴㝡昳愴㌸捤昸ㄷ㌰敥户愴㘴㠲㔹晦ㅦ㜲敤㈳挲㠹ㄶ愹〷㉣㈹㤹㘲㌴收捥㄰愷㕡愴ㅥㄲ愹㠸㌳㝤㡡昳㉡㤷捥㝡晢㥡搵〸摤㔲ㄵ㔰㥣㑡㘹㌸搸搵挰搹㤳㠶㘹慥〶㑥㤸㌴ㅣ攴㙡攰ㅣ㐹挳㔴㔷〳愷㐵ㅡ愶戸ㅡ㌸ㄳ搲㌰搹搵㐰昰愵㘱㤲慢㠱㜸㑢挳㐴㔷〳㈱㤶㠶〹慥〶愲㉡つ㜵戹つㄱ〷㕥㐵㐴㐵㘲㝣慥㠴㈲㠸搲㔰㥢摢㔰昶扦㔸㤷ㄹ戹</t>
  </si>
  <si>
    <t>㜸〱捤㕤〹㝣㔴搵搵㥦㥢㘵㤲㌷㐹㐸ㄴ㔴㐴㤱攰〶ㅡ㐰㄰ㄱ㄰ㄱ㈱㙣㘱挷戰戸搴㠶㈱㜹〳㈳㤳っ捣㑣㠰戸ㄱ㡡ㄴ㤷㕡慤㕡ㄵ㔷搰摡㔶㉤㕡〵慤㕡㡢搶㕤挱扡㙦慤㥦㥦晢㉥㙥㜵愹愲㝥晦晦㜹昷捤扣昷收捤㤰昲㤹摦捦㜱㜲收摥㜳晥昷摣昳晥攷㉤昷扤㝢㝤〴㔴㈰㄰昸〱ㅦ晥昲㔳挴挲摥昵㙤挹㤴搹㍣愰㌶ㅥ㡢㤹㡤愹㘸扣㈵㌹㘰㜴㈲ㄱ㙥㥢ㄲ㑤愶ち〱〸㌶㐴㘱㑦ㄶ㌷㈴愳㈷㥢愵つ㑢捤㐴ㄲ愰攲㐰愰戴搴㈸㠰扤捡晥戳㉢〶㕢ㄹ㐵ㄴ㐰〵㡣㈰㐵〹㐵㈹㠵㐱ㄱ愲㈸愳㈸愷愸愰攸㐲㔱㐹㐱㤷挶㉥ㄴ扢㐲㤴㜷㠵㤸㔵㍢㘶晡晣㤳㄰㘰㝤㉡㥥㌰晢㔵捦戱挲ㄸ㌹㘸搰〰晣㜷搸㘱挳〶っ散㔷㕤摢ㅡ㑢戵㈶捣㤱㉤㘶㙢㉡ㄱ㡥昵慢㥥搱㍡㍦ㄶ㙤㥣㙣戶捤㡡㉦㌲㕢㐶㥡昳〷づ㥥ㅦ㍥㙣搸愰挳㠶っ㠹っㅦ㍥慣扣ㅢ㍣㑦慢ㅤ㌳㈳㘱㐶㤲㍦㤶捦摤攸㜳㝡敤㤸〱搳捣搴㡦攵㜳㜷昸㠴换戱昱收㜰戴攵㐷㜲㕡捣㌴つㅥ㙢㌶㐶㤹㑦搳㑣㐴㕢ㄶっ㐰搸㉥愲㔱ㅢ㍡㘰㍣ㄸ㙦っ㈷㔳戵㘶㉣㜶㡣ㄹ㘱㉡换㥢挹㤹㤹㌰㕢ㅡ捤㘴㤷收㜱换ㅢ捤㤸㌶㈷㑢㥢攷㠴ㄳ搳挲捤㘶ㄱぢ㤵捤㔶摥敡㥡捣㤶㔴㌴搵㔶搱㍣㍢㘹ㅥㄳ㙥㔹㘰ㄲ㔲摣㍣愱㌵摡㔴㔴愴㡡㡡〲㠵㝤晣㠲㤱摣っㄸ㥦㘸慣㕤ㄸ㑥愴愴挶慣つ昲挳㍡昶㄰〹摣ㄵㄶ昷愲㙡㑦㉢愶愹㍥摡㍣搹㑣戴㤸㌱㜶挲攴搵㜸㐰挲㠹㐵㝤㥡ㅣ㝢㙢㤸ㄸ㔵愶て㈱㙥ち㝢㌱昶愰攸づㄱ摣ㄳ愲昷戸㘴㉡摡ㅣ㑥㤹㑤搵戵㌸扡㔲㠹㔶㌹捣慡挷㌵㉦㡥挵摢㥡㐱㡢搱㠳つ昶㠲㔰㐵㙦攲〰㜵㍡攴㐱㔲搰㄰㉥㘸㤸㕦搰搰㔸搰搰㔴搰㘰ㄶ㌴㐴ちㅡㄶㄴ㌴㉣㉣㘸㠸ㄶ㌴㥣㔴搰戰〸ㄸ晢㔳㕡㔲㔲愰㍦敡戲㑤挷摥㜰攷㙦挶㥣㍢㜷捡戸昵㕦昵㍤㔳昱㤸㤴㠳戳㈷ち挶㍥㄰挱㕥㄰摤㘶㈴攲㡢捤㐴慡つ昴㉣㌵㘳昱挵ㄲ㔳㌵㌱扤㈱㤴㝡〵㌱㌱慥ㄷ㍥昸晤㌳昷㙦㙢慦扢晢㠵戶愷㑢㝡㕤㝥㡤攲昱㉤づ昷㈳㜸㝦㠸攰〱㄰㠳㌳㕢㕣搷搲㤸㌰改㉦ㅣ慢慥㙢㐹㠱㘸ㄴ㘶㈵挲㉤挹挵昱㐴捡挹挱㠱㜴搱〷㐲愹ㄷ㜵㝦摢愶㔴て慤ㄹ㝦摣戴搵攳ㅢ㙦扦敤愰ㄳ昶㔱㍣㤵㐸㝦〷ㄱ㝣㌰㐴戰〶愲㘸㐲㝣㘹捡攸㐷㕤㝦〸愵㥥搶づ㕥㉡摤㍣收㠹㡡㙤㤳㔷晥㑦㜴挹扦㘲㕤挷㈹敥扢攲攰㄰㠲〷㐲〴〷㐱㜴㥦㥥㕡㘸㈶慡㘷挵㕢ㄳ搱㘴戳㌳慡㐳㠹ㅢっ愱搴㔶敤㜴㔸攰捣㠱慦つ㌹㙤搲摤慦㝦㔵昵挲愷愳㔶㈹㥥搶挴改㄰㠲て㠷〸づ㠵愸挹戰㌰㌶㥡〴つ㍣戹㠶ㄳ㙤搵昵㡢捤㤶㈶ㅣ㙤捥㝥㠶戱改㜰〸愵ㅥ搲晤捣摢㜵攱ㄵ㥢㙢ㅥ㍥㝡昳挴㡡㉤搱愱㙦晥㕢昱捣㈹晤㡣㈰昸㐸㠸攰㐸㠸昲㈹昱㐶㤰㡡㈴㐶愲㈹攳㈸摡㐶㐱㈸㜵慦㜶㌴攵挳搵㙢㈶㥥搵㜳散㐵㔳ち㉦㜹晣挶愵晢㉡㥥㝤挵搱㘸㠲挷㐰〴㙢㈱昶捥〴㍣㍡㥡㠸㐵㕢㑣㘷㠴㘳㠹ㅤ〷愱搴㕤摡昱敢愳ㄶ㙣㍣戸扡捦昴扦㝤㝣换〷㕤昷扤改㜷㡡㍢慢㌸㥥㐰昰㐴㠸㘰ㅤ㐴捦晣㤹㥦㐴昰㘴〸愵㌶㘹捦昷㙥㤸㍣昹收㡡ㅦ愶摥晣摤攷捦ㅦ㜹㔳㘸戸攲㘵㐲㍣㑦㈵㜸ㅡ㐴㜰㍡㐴攵㡣㌹搵㌸捦㔶㡦㌱㕢㑣㙣㝤搲㤸㐱昳㑣〸愵㙥搲扥㤶㥤㍢晤挲搵捤㡦㑤㌹敦扥㍥㥢捥ㅦ戳㜶㠵攲搵㐶㝣搵ㄳ㍣ぢ㈲㌸ㅢ愲㝢㡥愳戳摡㤸㐳摣㕣〸愵晥愸㥤㙥㜸晦昳㜷挷ㅣ扦换昸慢攳敢㍥扤昱敡敦㝢㈹㕥扤挴改㜱〴ㅦてㄱ㍣〱愲㜲搶攸摡㌹㑥ㅡ㝦㐶昳㠹㄰㑡㕤愳㝤㥤ㄳ昸昷㝥㙦㥦昸改挴ㅢ摥㝥攱慤捦㡥摣攷㜳挵㡢愰昸㙡㈰㜸ㅥ㐴㌰っ㔱㠶摤ㅣ〷㄰㡦愶㙡㘳㍥㑤㡤㄰㑡㕤愱晤扣昶挵㈵摦〴戶晥㘹昴㥡挴扡愲收挶攱扤ㄴ慦愳攲挷㈴㌸〲ㄱ㕣〰戱敢㤴㜸搳〲捦晥户㤰㠸㈸㠴㔲ㄷ㙢㜷㌷㡣㝦攷挶㌷㕥ㄹ㍥昱㔷㌳㔷㙦㡦晤攲戱愸攲ㄵ㔹摣昱㝣㘳挴㈰㠲捤㄰㝤㌳扢㡤昳㘸昷改愴㠵敤攲㄰㑡㥤慦㍢改摦搴昰搰㔱㙤㘵戵㝦㍣敡㤵㍥〳ㅥ㍢散㈵挵㉢扥㜴戲㠴攰〴㐴㌰〹搱捤㍡㐲敢㕡㈲〹㕣㠹㜸ち挵㠵摥㐸ㄱ搳ち愱搴搹摡攱㌷㌵㜷㝣搶敢挹㙢㈷㙥晣㙥搰㜳慤㔳㠳ぢ换㤷挱㍣㔳㥦愱挷㈶挲换戰攱㤹㉢攸愱〳〶昲扦ㅤてㅤ㌰㜲㠸っ㠹っ㡤っㅡ搴㌴㘴㘰㜸㜰戸㤸攷昸晦收㠲㔵ㅥ㤹ㅢ㙤㘹㡡㉦㤳㉢㔸㜹㘴㝣㌴㠶㤳愱㔴㉡㈳昸戱慥挲㔲慦㠸㡣㕢㡥攱㑢愳扥搸㐵㙡㜱㙡挶㘵㍦搵㤶戹〲敥㍤㈶㥣㌴㌳搵ㅡ敤㝢㑣扣戵愵㈹戹㤷扦戱㍥㠵㑢㔰て慦㉤攳㈴慢㔹㍤㠶〴㘶㔲㐲摡挷摢㙣㑥㌸搶㙡㡥㕥ㅥ戵捣㍤㍤㘶っづ攲昳㜳㕢挷㈷捣㈵㘹㙢㔶㐴愳㜱㜵㕣㉡扥戳戶搲㌲㔹㜱㔵搷㉥㡣㈷捤ㄶ〹慦愶㜹㐶戴㜱㤱㤹愸㌷㌹㠴㌵㥢㘴㔳㜷愳㐹㡦㔰㙡愶户㘰㐳㌱收㘸摡搷愹㈵搱㌸ㄵ㥢㑤昶〵㜰㔶㜸㝥捣摣摤〵戱晡㠴㘱㑦㤷㝡㝣扣戱㌵㠹ㄳ㐶㉡ㄱ㡦戹㉤愳㥢㤶㠶㌱㉡㙡㥡ㅡ㙦㌲㡢攴ㄳ戰愴ちㄴㄶ㉡ㄵ攸敢㌷扣愰敦㈴〷㈰㡥㥤㠴挳㥣晣㘰挷㑥㐴戰敦挰㈵敤ㄹ〵挷㑥㐶晣㐱㜹㈳㜱敤㠴㐰て捣㡢昶搹㐹搹㐵㜷昷㠱㌷攰ㄸ攴〷㜹㠸㤹㍣㉡ぢ昶捦敤㌲戳㕦敥㈰㔲㐷㔶㜸挷㐲㜴ㅥ搲挴㙤㝡摦敢㕣㜰㐱㐱㔷扤昵攳㤶攲㤴㍤㌱摣搲ㄴ㌳ㄳ㜹敦户ㄴ㈳㌲㤶㔳戴㔱㥣㑣㜱ち挵愹㄰挵慢㜰㡥换挹㈸〷㜷㙡戹㙡㉢㕥ㄶ㙤㑡㉤っ㉥㌴愳ぢㄶ愶愰挳㝤㕡㘹㈹改㍥ㅥ㌷㘸愳㜰换㜷㍤晥晥ㄷ㝦〱攳㜴㡡ㄵㄴ敤㄰愱㔰㈰戸ㄲ扦㠱㘰挸昸〵㝦㔶㐱㔴摡㠳晦㙡㙢捦っ愹㘲づ㙣晦晢攱㌷㍡てㄸ㌲摡挷敤㔸戲戸ㄹ㝥㤳㠵㠵㝥㙣㑣っ㈷ㄷ愶㜸㈰收㌵捡㐰晢っ㍡㕤つ㔱晥㑢㠸㘹ㄳ捤ㄸ挶戱㍦搶㥤㕣㌱㐷攵㍢扣㘳攰昵㙡昷收晡戶㤶挶㠵㠹㜸ぢ㙥㤱挷㠶㔳攱搱㡤戸㉤㑡慡㜰戰㜹㑡扣戶㌵ㄵ㙣㥥ㄸ挵㑦㜹昳㌱收㘲㌳㥣慡挵㘹㍡㔵搱㍣〵ㄷ㌲㌹㡦搶㌵㉤㉦㙥戶敥㠶挶㥡挹㐶㠳户㑤㜵㌸㉤㉤て愲㠴昳㙣㜹㌳㑦㌴收昲ㄴ㕤㤷㌴捦〸攳戶㉢㘵〰㔴㈳慤慣ㄲ㕢㔶㠸捥㙥ㅤ搲㌵㜸愸㤲愲挳㑢㤹㈸㉣㑦〱敥㌹戸㠲攲扡㕢愴愵昷〸㥡㥤㡡挶㤲〳㌴扤〳挶挶㜱㕢㙤捡㐳〲搲ㅥっ㘲〷ぢ收㑤㤶昷㐰攷㝤搷昴挶昹㤶㕢㠴㌲㈱ㄱ㙦㕤捣㝢慦ㅦ换て㝤〵㡣㌵㄰㔷㝦㝡挳㠸〳慥扣昹〷晤扢〲㠷㤰㝣っ摥㥡ㄹ摣摦㔹挵㡦㝣㡣戳昱ㄳ捡㘷㉢收㙤㥡敦㤹㌶挷㉤㘲㌱昰攵捤搸摡㔹〹㔳敥㜹㑢愵搲戶搸慣㘸㥥ㅢ㑦㉣㥡ㅦ㡦㉦㘲昲扢㐸㉤戹搰㌴㔳扣㤱㉣搳昷捤㉣㉢愵ちぢ㕤㌷㠵㡥㍢㑥摥㠲〶㝦つ㔱㌱㍡ㄶ慢戶㍤㈶㠳攷㐱㔵㠸㉢㑡昰㝣ㄴ晡搷捥愹慢敢ㅦ挳㈹愸愱㌹摣ㄲ㕥㘰昶㡦㈷愲ㄸ〳㠶㘳つ㘶㈲搱㍦ㄲ㑦㌴㉣㌳攷昷㕦㍡㘴挰昲㔸戲㔹挵㐱〹㙦昸摥慥㝣晥慦㌷晣扡摦攸戳晦昰晥㡢ㄷ㜴敢㜹㤲㙡搱㠶慣㕢㑢摥㔱㜲㐸㘴㕣㐸㜱ㄱ挵㙦㈹㉥愶戸〴㐲㉤㐴㔳㥥挰ㅥ挵㤹攰㉥㈸㌲愷愱戵挴㕣㐶㜱㌹〴㑥㐳㤲ㄶ㥣㠵慥愴㡥㘷愱㤰㔲扣㕢攵㤹挷戸㥡㘲ㅤ㠴慡㠶攰㌱ㅡ㌰搶㐳攴㑣㜴㉦㈲戲ㄲ晤㍢㘸㐳㐶ㅥ㥢敡つ〴㤳㙤㤰㕣㠳㜴ㅡ愴㔲捤搶ㅣ㘴㤱㌳㑢ㅢ戲㙥㤳昷㐳㌳㈱㘷〳㥤摣㐴㜱㌳挵㥦㈹㙥㠱㔰搳㌴㌹㌷㠳㥣て愱挸㤰戳㤱㤸㑤ㄴ户㐱㌸挸昹ぢ㜵㥡㥣晤㔱ㄶ㜲敥愴㤲散慡〳㈱㉣㜲晥㡡㔲㑥㜲づ㘰㠳㉣㜲㌶㐳ㅢ㌲昲搸㔴ㅦ㈰晣挸ㄹ㤱㡢㥣㈳戴㈱敢㥥㥥户昲㐲捥挳っ攵ㄱ㡡㐷㈹ㅥ愳搸〲愱づ搳攴㉣〱㌹愷㉢㈷㌹㡦ㄳ昳て㡡㈷㈰ㅣ攴㍣㐵㥤㈶攷㘰㤴㠵㥣㘷愸㝣ㄶ㐲昵㠳戰挸㜹づ愵㥣攴搴戰㐱ㄶ㌹㉦㐲ㅢ㌲昲搸㔴㝦㈰晣挸改㥤㡢㥣㙡㙤挸㝡㕥㜱〸㍣〹㌹慦㌱㤴搷㈹摥愰㜸㤳攲㉤〸搵㐳㤳昳ㄵ挸〹戸挸㜹㠷㤸㜷㈹摥㠳㜰㤰昳〱㜵㥡㥣㠱㈸ぢ㌹ㅦ㔱戹つ㐲昱㤱㠷㐵捥挷㈸攵㈴㘷㄰ㅢ㘴㤱昳ㄹ戴㈱㈳㡦㑤つ〶挲㡦㥣㤲㕣攴〴戵㈱敢戹换㄰㜸ㄲ㜲扥㘵㈸摢㈹扥愳昸㥥㠲愷㜴挵㜳㍢捦㌹㈴愷慦㡢ㅣ㕥攸㡣〲㡡㐲〸〷㌹挵搴㘹㜲昸㈸㐷挸㈹愱戲ㄴ㐲つ㠳捡㈲挷㐰㌵㈷㌹㐳ㄹ挲㑡〸㜴捥㐸攴㘳㤴愳㐹挸挸㘳㔳挳〱昴㈳攷愳敦㜳㥣㤰㍦搴㠶慣㠷㐵㈳攰㐹挸搹つ㥤ㅡ扢㔳散㐱搱㥤㘲㑦〸昵㌶㥡㤲㥣㙤㈰攷㕦㐰㘷捥㌹㝢ㄱ戳㌷㐵㑦〸〷㌹扤愸搳攴昰昹㤳㤰搳㥢捡㝤㈱搴㔱㔰㔹攴散㠷㙡㑥㜲㐶〲㤶㑤捥㠱㘸ㄲ㌲昲搸搴㈸戴昳㈳攷㤹㕣攴㍣慤つ㔹て挰㐶挳㤳㤰㜳〸㍡㌵〶㔲っ愲㌸㤴㘲㌰㠴摡慡挹ㄹて㜲㜸㔴㘴挸ㄹ㐲捣攱ㄴ㐳㈱ㅣ攴っ愷㑥㤳㌳〶㑤㠴㥣ㄱ㔴ㅥ〹愱挶㐲㘵㤱㌳ㄲ搵㥣攴搴〲㤶㑤捥搱㘸ㄲ㌲昲搸搴㌸戴昳㈳攷捥㕣攴摣愱つ㔹て昱㈶挰㤳㤰㔳挷搸㈷㔱㑣愶㤸㐲㌱ㄵ㐲摤慡挹㌹〵攴㑣㠳㈲㐳捥㜴㘲㘶㔰捣㠴㜰㤰㔳㑦㥤㈶㠷捦〵㠵㥣搹㔴捥㠱㔰㤳愰戲挸㤹㡢㙡㑥㜲敡〰换㈶攷㜸㌴〹ㄹ㜹㙣㙡㌲摡昹㤱㜳㜵㉥㜲慥搲㠶慣攷㤰㔳攱㐹挸㘹㘴散㑤ㄴ㈶㐵㠴㘲〱㠴扡㔴㤳㜳ㅡ㤰晢㐰㜱㜳㘱㈰昰〰㝥〳㐶㤴㤸㤳㈸ㄶ㐱㌸挸㘹愶㑥㤳㌳つ㐸㈱㈷㑥攵㘲〸㌵〳㉡㡢㥣㈵愸收㈴㘷㍡晢㔸〹攱㍡攷愴搰㈴㘴攴戱愹㤹㘸攲㐷捥敡㕣攴㥣愱つ㔹て㔶敢攱㐹挸㌹つ㥤ㅡ扣㔴ㅢ㉢㈸摡㈹㔶㐲愸搳㌵㌹ㄳ戱攷昰㕣㥤搹㜳㔶ㄱ㜳〶挵㙡〸〷㌹㙢愸搳攴捣㐲ㄳ㈱攷㉣㉡捦㠶㔰㝣㌶㙢㤱㜳づ慡㌹挹㤹つ㔸㌶㌹扦㐶㤳㤰㤱挷愶收愲㥤ㅦ㌹㡢㜲㤱㜳㤲㌶㘴㍤㈰㍥づ㥥㠴㥣㑢ㄸ晢愵ㄴ㙢㈹㉥愳戸ㅣ㐲㌵㘹㜲捥〶㌹㘵㔰㘴挸戹㤲㤸慢㈸慥㠶㜰㤰戳㥥㍡㑤捥昱攸㐰挸戹㤶捡摦㐱㈸㍥㙣戶挸戹づ搵㥣攴㥣〰㔸㌶㌹㝦㐴㤳㤰㤱挷愶㑥㐴㍢㍦㜲㘶收㈲㘷㠶㌶㘴㍤昱㙥㠰㈷㈱攷ㄶ挶㝥㉢挵㐶㡡㑤ㄴ户㐱愸㐹㥡㥣ㄳ㐱㑥〵ㄴㄹ㜲晥㐲捣ㅤㄴ㜷㐲㌸挸昹㉢㜵㥡㥣㜹攸㐰挸昹ㅢ㤵㥢㈱搴㝣愸㉣㜲敥㐱㌵㈷㌹㘱挰戲挹戹て㑤㐲㐶ㅥ㥢㙡㐴㍢㍦㜲㠶收㈲攷㜰㙤挸㝡㡣㙦挲㤳㤰戳〵㥤ㅡ㕢㈹ㅥ愷昸〷挵ㄳ㄰㙡愰㈶攷ㄹ㤰昳㝢愰㌳攴㍣㐵捣搳ㄴ捦㐰㌸挸㜹㡥㍡㑤㑥〴㑤㠴㥣ㄷ愸㝣ㄱ㐲㜱㍥挰㈲攷㈵㔴㜳㤲戳〰戰㙣㜲㕥㐶㤳㤰㤱挷愶愲㘸攷㐷㑥捦㕣攴散慤つ㔹㤳ㄲ㡢攰㐹挸㜹㡢戱扦㑤昱づ挵扢ㄴ敦㐱愸摤㌵㌹㠳ぢ〳〱づ㠷㌳攴㝣㐰捣㠷ㄴㅦ㐱㌸挸昹㤸㍡㑤づ攷㌹㠴㥣㑦愹晣っ㐲戵㐰㘵㤱昳㌹慡㌹挹㘹〶㉣㥢㥣㉦搱㈴㘴攴戱愹㌸摡昹㤱㔳㤸㡢㥣〲㙤挸㥡㑣㔹〲㑦㐲捥て㡣㍤㠰扤挳㔰ㄴ〵ㄴ㠵㄰㙡晢㜷搶㈰㜰㉢㉡昷〱㥤㈱愷㤸㤸㈰㐵〹㠴㠳ㅣ慥晡戰挹攱晣㡣㤰㔳㐶㘵㌹㠴㑡㐱㘵㤱㔳㠱㙡㑥㜲㤲㠰㘵㤳㔳㠵㈶㈱㈳㡦㑤戵愲㥤ㅦ㌹敦㘱㐳㝣ㅦ㔹扣慢つ摥㠹愱攲攵昰攴㝤搰㈵㜳晤改㐷收㡥㠷昱㕤〰づ㐶㘶户㘰㡥戱㉣㌲扡㌵ㄵㅦㅦ㑤㡤㑤愶捡㈳㄰㈸㑡㤳ㅥ昲㜴搹搱愸㈶㌲㈷㙡㉥㥢㠵㐷㍤扤戲㑤㔸〶㔱摢㥡㑣挵攵ㄹ摥㍥搹昶戱昱㘹昱ㄴ㈶㡥ㄷ挷挲㙤晢晢㤸㉤换摣㠵㘶ぢ愶㍢ㄲ㤸昵搸ㄱ㈸扥㜸戱搹攴ㄳ㘳㍤㘶扤ㅢ捤扡戱㍦㠵〹ㄳ㘵㍤㡣っ攰㜹ㄷ敥搰搴〱戹㈷〸ㅣ扣㜷㐳㙥ち昰㡣㑣敤攴昳昶㤵㘸ㅦ㌰㝡㘰搷㉢㐴㥦搸搵㡤扤戸ㅢ㠶〲挵㙤㌰攴摦㐵ㅣ㔳㌰㘵〰㠷㈲㐸慢愵慢搰㜳㝣㜵㉤挹㘸㤳ㄹ搲戵愹搱㤶㉥扡㌸扤㌵攵戲㠴㤷㜷搵ㄶ㍣挸㥢摥挲㌵〳攱㐴搳㑦㈱㉢攴〷攴㐸㑡㔴㄰晦敤ㅣ搱㤶㥢㐰攰ㄳ㥥㡤昸昹㘴〵づ昶扤㌵搷㈷㐳攱晢㕣㌵㝤㌸愲攰㤸挱慡〴扥㠲㜴愷搵愵慣㑤㌵挳㉤㤲㠵晡㔴ㄳ㤶戳㜴ㄱ㠴㠹ㅤㅣ慢㡦㘲㘶㔷㜷㔵ㅥ慦ㅢ㤱搱昳㤳昱㔸㙢捡散㤲㉥挹㠱㙥㐴㡥㌱㘳㘱捥㐶㤶愷㑢㌳ㅡ㔳㤸慦㑤晢攳㑣攳㑦㈷㐳㘰愴㐸㘷㐹㐹㥥㠲㜹㜶㕥昷㐶昰ㄸ摡挹慣㈲㤹ㄱ昹㙣ㅢ愵㉥㕢换捦昵愳〲㜶㈱挴㑦愰昸ㄴ戸敦昸㜴㈳㡦愴慥昶㉣戸㜵㠶㤳㤳㔷戹慤攳㑣㕦㐵㐴捥㝢㤸捥攷挲戳㑡ㅥ㍡㌱慣ち㑣㐵戱ㄸ㈶搶搶㈵㠲戵〸戱搶㈶㜳㑡㜸扥ㄹ戳捦搹昱〴搶㘱晤㈴昲㔵挴㐳挰捡㔵ㅥ㕥昴ㅣ㙣ㅤㄶ㘰摡㤳㥢㍢㝤㥡挳挳ㅣㅣ㘹㜲挹㠵て㍣晡搶挷ㅤ㘷ㄶ晦敢戹摤㄰ㅡ敤㥡㔹㤹㈰敢昹㜰㙡换㔲昱㥣挶㜹慥昴昴戰ㅣ㜱づ搸㤴㌸㔶㉦㉤㌲㥢ㅣ慡㠹㔱㑢昵㤳挸ㄳ戶搳㑡㔳㌰ㄸ摣搹ぢっ㝤昰慣愷㝦㔷攸㕦㍣捥戲づ㡥搳愱昰捥㤰㌹〶㈲㜲敤㤷㤳㘰ㄵ㠰㤵㍣㠳㔹〳㠷㔹搱㔴捣㉣㡢㠸㕤捡愵㍣㈴挸㘶㐹㘴搶㐲捣㌶㡤慤㠸㑣㐸㐴㥢戸㤲㡢㠳㤰㙥ㄶ㜴㡡戹〰㡢ㅥ㘶挴㤳㔱㉥㐸慢㠸㔸慢昱㌸愹搸搸戶慢慢㈶挹㉡㡥㡣㠹戶攰〰戲晡㘴戹㌲㔲扦㌰扥っぢ㠶㕢㥢㕢㈶㠴ㄷ㈷㝦ㄲ㠹搲㤷ㄴ㌰㘴ㅤ㔵〵慡愰㐰㤵ㄶ㤴敥散戵㉡㔸㡤攳㈳㠸㔵㈶ㄸ㕢㘱㔴ㅢ〸昰戱㜸〱㠵捥ㅡ搳㤸攷搰㘵挲昴敡ㄳㅥ扡っ捦戵㘸搶㜷敡㍢扤昰㥡愷㘳愳㌷㈲㈸摦ㄷ㘲搲㠴搹㜵㤹㌵㑢晦慦㈵捦挵敤昰㥣攷慡㈰摢㥢㕥㈰戱ㅢ挰㕤慣扤㠶㍡敥㐴㠶㈴㥦㌵敦㥥ㄸ㡡〸㠶㍢㈵㉥愴㠴戳㌸ㅥ㔳搷攵㌸〷攰㉣㡣㈹㝦㥣㝥扢㔸ㄵ㡥散㥡挳戱愴戶搵挶㥢㥢挳摣换挸㜷㍤㑥攱㘶愹っ戳㜱㔲㌱㈲㄰戲㉢㙡㔵㜸㌹㔴攱攵愲挲㤵㤹㡢㥥愴㑣㕦昱〵攱㐴㌴戵戰㌹摡㔸捡ちㄷ㈶晤㈴㜶㑦散㐲㐵㈰搳晥挸㍥㡡㌱慢㜷㜹㠱㌵㈳㡥㜴て挰㙤〴愹㘳晡戱ㄳㄷ挸攵㕣敤攴㡡ㄲ散扥㜲摥㌷昶㠷㌷摥搷㘱戶㥦㍢㈴㍥㡥戱ㄸ㌴㜲㍥㔲扦㠰㥥㘶攳〰㐰㔹攰㕦搱ㄹ㄰㜹㈷昹㑢〰〸㑤㠹㠷㥢挶㘳敤㕡㍣㔱愲㤷攸㤷㈲戵㡢㜱㜶㐹㔴㜱㘱㐷㉤㔶㐵㘱戵搵㔲っ㠹ㄳ愵㔴搴㘳挹㐴ㄱ㤷㠴〴慤ㅣ昲昸つㄴㄷ㤷㤵晡昵㔵㘷晢摡㕦㑦㠰㍢晦慦㠵扡㉣晦ㅦ捥ㅣ㠶㤳㉣㌷㡢㈳ち攳㐰㙣㡥搱㠷摢戴ㅡ㔵㙥㡦〷搰㤷㠰㠳㈰㡡搷挰攸㍤㑡㜲㉥㠲挰㜳㠵㐰㜱㌳ㄷ㘷㤴㌶㜳㜳㌰昲〸㘲挹〶ㄶ㜹㠰㤲㘰㔹㈹ㄷ㐹ㄸ〷挳敤攳㕢户㜲㝥㈳愰捥㠶戰晢攷敤戳づ戰㠶晤昷㠳㔰ㄷ㐲挹晢搳㘰㝦搴ち㙢攷㡣ぢㄸ〳㔸搲昷㈷㠷愰㡣㘱㤵扡〸㄰摥愳搸ㅦ㐷㌶㌱戲ㅥ愸㔱扦㠵㤹愳㙢收㜱㐷㈳㌵挵〹㝢㡥搶㌰㈳㠲收㤹攱挲㘰敤散ㄲ㤸㌸㘴戰㍥㌹㉦㙡㙡㉤〰扣戰〵㠲㠷愱㘵㥥ㄳ愹扡っ㈰㥥㑣㡤㈱〰慡换㔱㙡挷ㅦ㠲㌵戸昱挶㔰㠸ㅤ敦戳㔷㑡ぢ挰㠷搱㠹慥愸慢㔱戰㜹㐶搱收㜹㌸晤ㅥ㐱攰㍡㝦挰〸〲㡥㈴㘰㍤〰摣ㄹ㡣㤱愸愵昳昷㍢㐷㌳㐷晥㡥㘲戳㔱㙣戶〱〰收㑦昸ぢㄸ愳愱戳㜳㌷〶㘵收敥㈶㤸㜳攷慥㔶愳㙥〶慡挳戹攳㝡〲㉢㜷㘳搱㍣㤳㍢㑥㘲戱换㕢㘰敦㐸敥㌶〲㘷攵㙥〲㕡收换摤㈶㈰㈵㜷㝣愰慦㙥㐳慤ㅤ㝦捣摤㑡晣ㄸ㤳愰摤㜱敥晥㈲㉤〰㥦㑣㈷扡愲敥㐴挱㈷㜷㔳㠰㌱愶ㄲ㜸㤷㍦㘰ㅡ〱搳〹昸㉢〰㤲扢ㄹ愸愵㜳户搹搱捣㤱扢㤹㙣㜶っ㥢㍤っ㠰ㅣ㝢昵愸ㄵ捥慥ㅦ㡢㌵攲㉣改㘳㙦㌶捡㈴昳ㄱ挰㜲攷㙦㡥㐶㍤ち㔴㠷昳昷ㄸ挰㔶晥收愲㜹㈶㝦挷㘹㘷㕢㘰敦㐸晥ㅥ〷捥捡ㅦ搷晣攵换摦㍦㠰㤴晣㥤〰愰㝡〲戵㜶晣㌱㝦摣㜸㠳て摢㜷㥣扦愷愴〵攰㍦愷ㄳ㕤㔱捦愰攰㤳扦〶晡㥤㐷攰戳晥㠰㌰〱昳〹㜸づ〰挹㕦㈳㙡改晣扤攸㘸收挸㕦ㄳ㥢㤹㙣昶ㅡ〰㤲扦〸㙡搶戹㜳〱㑢㍡㝦ぢ㔱㘶晥㕥〷㉣㜷晥愲ㅡ昵〶㔰ㅤ捥摦㥢〰㕢昹㍢〹捤㌳昹㡢㘹㘷㕣戰搱㤱晣扤〳㥣㤵扦㘶戴捣㤷㍦㍥捦㤶晣戵〰愸摥㐳慤ㅤ㝦捣ㅦ㌷摥㔸っ戱攳晣㝤㈰㉤〰攷〲㥢㜴晥㍥㠲搶㈷㝦〹晡㑤ㄲ戸捤ㅦ㤰㈲愰㤵㠰㡦〱㤰晣㉤㐵㉤㥤㍦慥㄰戱晤敥㠹戲扥昶㉤㘳戳攵㙣昶㉤㤴捣㥦昰㠷㌵戰搰搹戹攳㠴㌳㜳户ㅤ收摣戹㍢㔵愳㌸挱搸攱摣㝤て戰㤵扢搳搰㍣㤳扢ㄵ摡搹て戰㜷㈴㜷ㅣ㔸㔹戹㙢㐷换㝣戹攳敡ㄳ挹摤㑡〰ㄵ㌶㌱㥤扢㤵攸换㔸〵敤㡥㜳㔷㡣㘶昸㘲敡㤴㑥㔰㤰㍦慥㔷戱㌹㠶捥收㜸㌵㌰挶㉦〹攴㕡ㄶㅦ挰ㅡ〲捥㈴挰〰㐰㜲㜷ㄶ㙡改摣㜱〱㡢摤捣㤱㍢㑥㔸ㅡ攷戰搹㙥〰挸戱昷㉢搴慣㘳敦㕣㤶昴戱昷㙢㤴㤹㍦㉥㐷挹㥤扦昳㌴㙡て愰㍡㥣㍦慥㙢戱昲㜷㍥㥡㘷昲㜷㠱㜶戶㈷散ㅤ挹ㅦ搷扥㔸昹扢㄰㉤昳攵㡦ぢ㘴㈴㝦ㄷ〱愸㝡愲搶㑥慥㜱散㜱攳㡤㡢㈱㜶㥣扦㕥㘸㠶㉦搶㐸搲㠹㌴挷㙦㙦㤴㙣㥥改㔳ㅦ㈳㤷搲敦㕡〲戹摣挶〷㜰ㄹ〱㤷ㄳ戰ㅦ〰㤲扦㉢㔰㑢攷㡦㙢㙣散㘶㡥晣㕤挹㘶㔷戱搹㈱〰㌸㡥扤㜵搰搹戹㕢㡦㌲㜳挷搵㌲戹㜳㜷㡤㐶つ〲慡挳戹攳戲ㅢ㉢㜷搷愲㜹㈶㜷搷㘹㘷㠳㘱敦㐸敥㠶〰㘷攵敥昷㘸㤹㉦㜷㕣扦㈳戹晢〳㠰㙡㈸㙡敤攴搹ㅥ户㕣て敤㡥㜳㌷ㅣ捤昰つㄸ㌷搰㠹㌴挷㉦㔷晣搸ㅣ搳愷捥摤㡤挰ㄸ㝦㈲㤰慢㠱㝣〰ㅢ〸戸㠹㠰㤱〰㐸敥戸ㅡ㌴㥤扢愳ㅤ捤扡㘷晣晥㤹捤㙥㘱戳㍡〰攴搸扢ㄵ㌵敢搸摢挸㤲㍥昶㌶愱捣晣㜱㐱㑦敥晣摤愶㔱㤳㠱敡㜰晥戸㌲挸捡摦敤㘸㥥挹摦ㅤ摡搹㔴搸㍢㤲扦改挰㔹昹扢ㄳ㉤昳攵㡦㑢㡣㈴㝦㜷〱愸㘶愲搶㑥慥㤱㍦㙥扣㜱㌷挴㡥昳㔷㡦㘶昸〶㡣扦搱㠹㌴挷敦㙣㤴㝣搲戳㤹㝥敦㈱㤰ぢ㤶㝣〰昷ㄲ昰㜷〲收〲㈰昹扢て戵㜴晥戸㑡挹㙥收挸摦晤㙣昶〰㥢㌵〲㈰昹㝢㄰㌵㙢摣昹㄰㑡㠸㑣收愴ㅥ㐶㤹昹㙢〲㉣㜷晥ㅥ搱㈸ㄳ愸づ攷㡦㡢㤷慣晣㍤㡡收㤹晣㙤搱捥戸慥愹㈳昹㡢〲㈷昹㤳昵㐶㡣摣晢搴㑣㜱昹㤳㈴敥㜱昸㔶㡢㔰㙢挷㈶〲㘹㜰慢㡤㈷㈰㜶㥣戸㘶㌴挳㌷㘰㍣㐹㈷搲ㅣ扦㜱㤴㙣㠲改㔳ㅦ㜸㑦搱敦搳〴㜲㌱㤵て攰ㄹ〲㥥㈵㘰〹〰㤲戸攷㔰㑢㈷㡥捦敥散㘶㡥挴㍤捦㘶㉦戰搹㘹〰㐸攲㕥㐴捤㍡昰㕥㘲㐹㈷敥㥦㈸㌳㜱㕣て㤵㍢㜱晦搲愸ㄵ㐰㜵㌸㜱敤〰㕢㠹㝢ㄹ捤㌳㠹㝢㐵㍢㕢〹㝢㐷ㄲ户ち㌸敢挰晢㕦戴捣㜷攰㥤〱愴攴敦㔵〰搵㙡搴摡挹㌵昲挷㡤㌷㕥㠷搸㜱晥戸愴ぢ㕦慣㘵愶ㄳ㘹㡥摦戳㔰戲㜹愶㑦㥤扦㌷改昷㉤〲戹摥换〷昰㌶〱敦㄰㜰づ〰㤲扦㜷㔱㑢攷㡦㡢扣散㘶㝢㘶晣扥挷㘶敦戳搹㈵〰㐸晥㍥㐰捤捡摦㠷㉣改晣㝤㠴㌲昳挷㈵㕢戹昳户㑤愳搶〲搵攱晣㜱敤㤷㤵扦㡦搱㍣㤳扦㑦戵㌳㉥ぢ敢㐸晥慥〴捥捡摦㘷㘸㤹㉦㝦㕣㐴㈶昹晢ㅣ㐰㜵㌵㙡敤攴ㅡ昹攳挶ㅢ㕦㐰散㌸㝦敢搱っ摦㠰昱㈵㥤㐸㜳晣㕥㡢㤲捤㌳㝤敡晣㝤㐵扦㕦ㄳ昸㍢㝦挰㝦〸昸㠶㠰敢〰㤰晣㝤㡢㕡㍡㝦㕣㠷㘶晢㜵攴㙦㍢㥢㝤挷㘶户〰㈰昹晢ㅥ㌵㉢㝦㍦戰愴昳挷晦㥤㤸昹攳慡戲摣昹㔳ㅡ戵ㄱ愸づ攷㡦换搳慣晣ㄵ愰㜹㈶㝦㐵摡搹㙤戰㜷㈴㝦㝦〱捥捡ㅦ摦捡㤱㉦㝦㕣攷㈶昹ぢ〲愸敥㐴慤㥤㕣㈳㝦摣㜸愳ㄴ摡ㅤ攷㡦ぢ攳昰挵扢㔸攸㐴㥡攳昷㙦㈸搹㍣搳愷捥㕦〸ㄸ愳㡣㐰慥㥡昳〱㤴ㄳ㔰㐱挰㍤〰㐸晥扡愰㤶捥ㅦ㤷捡搹捤ㅣ攷捦㑡㌶慢㘲戳㉤〰㐸晥㜶㐱捤捡摦慥㉣改晣㜵㐵㤹昹攳挲户摣昹敢愶㔱㡦〳搵攱晣㜱〵㥤㤵扦摤搰㍣㤳扦㍤戴戳㈷㘰敦㐸晥㥥〲捥捡㕦㜷戴捣㤷㍦㉥挵㤳晣敤〹愰㝡〶戵㜶㜲㡤晣㜱攳㡤扤㈰㜶㥣扦攷搰っ㕦慣搱愷ㄳ㘹㡥摦ㄷ㔰戲㜹愶㑦㥤扦㥥昴扢て㠱㕣搸攷〳攸㐵㐰㌵〱㉦〱㈰昹敢㡤㕡㍡㝦㕣捤㘷㌷㜳攴㙦㕦㌶摢㡦捤摥〲㠰昹ㄳ晥㌰㙢〰㥤㥤扢〳㔱㘶敥戸㉥㉦㜷敥晡㘸ㄴㄷ敥㜵㌸㜷㕣攰㘷攵慥㉦㥡㘷㜲㜷戰㜶昶ㅥ散ㅤ挹摤〷挰㔹戹慢㐱换㝣戹攳㑡㐱挹㕤㍦〰搵㐷愸戵㤳㘷攴㙥㈵户㝥〰戴㍢捥摤挷㘸㠶㙦挰㌸㠴㑥愴㌹㝥㍦㐵挹收ㄸ㍡㍢㜷〳㠱㌱〶ㄱ挸㜵㠷㍥㠰㐳〹攰挲㐶昵㌹〰㤲扢挳㔰㑢攷㡥㡢つ敤㘶㝢㘵晣づ㘱戳挳搹散〷〰攴搸ㅢ㡡㥡㜵散つ㘳㐹ㅦ㝢挳㔱㘶晥〲㌸戹攴捥摦ㄱㅡ愵㠰敡㜰晥ち〰戶昲㌷〲捤㌳昹ㅢ愹㥤ㄵ挲摥㤱晣㤱㜲㉢㝦㐷愱㘵扥晣〵㠱㤴晣㡤〲㔰㤵愰搶㑥慥㤱㍦㙥扣㌱ㅡ㘲挷昹㌳搰っ㥣攱戵㈹㜴㈲捤昱㕢〶慤捤㌳㝤敡㘳慦㤶㝥挷ㄲ㔸敥てㄸ㐷挰㜸〲㉡〰㤰晣㑤㐰㉤㥤扦㉡㐷戳ㅥㄹ扦ㄳ搹慣づ愲戸〷〰ㅤ㕢㈵㔷㠲收㔵㡥愵㡢㥣捣㑤敥ㄲ㤹搹ㅡ㡥攱戵㑣搳戱㝥㈶㐵搵㑦㘱戶戴挸㕡挵攴㝤扤㠶晢㙤㑤㔸〰㈸㥢㜰挲㠹㥣愵昶㜲攰挶敡㙤㑢ㄲ戹㜳慢㥣㐲挵户㙦晦攱㠷㡥昵挲扤愲㘴㈹晦捦敤㠶㠶㐰㈹晢㐴愶㌰ㅦ㌷ㄹ㍦㍣㤸昶㐲捥㘴ㄷ㥡〲〵捡㠱㈲晣愹扤㙤敤㔴愲昵愷戸㈷戴㜹㔶ㄹ㜸ㄶ〸搱㙢搷捣㥣㈸㘷扦㙢㘲㝣㡦㥢摦㘴慡㝢戱挱㌴昴慡㝡昹挵愰㝡摢摡ㄹ挴愰ぢ〶㔸扣㍦戴㍢㥣扥收㤶㘱改㈳㈶戲敢㔳㙤㌱㉣ㅥ㘰㤱晦户戳㔵攲㙣愹㘵㐶搰昱㐴ㄱ㤶㝦㝡摦㙦㤰㙥扢っ慥捡扡㜹摥㈷㈱捤㘸搹ㄷ搱ㄴ摦㡣ㄴ攵㙣敦捥ち摢昰ㄳ㍣〶ㅢ搳㙤㙡戴㌱ㄱ㑦挶㈳愹敡㝡扣㤹慡㥡㙦ㄸ挱㥡昸㠱愳㡢㌷挰愳㙦㥦摣戰愲ㄶ扥挱㑣ㄲㅤ㕡搴ㄲ㕦搶㈲搱ㄴ㈷昹愲ㄵ挹㙦㐹〹扢攱㕡㈹昹散〷昲慡づ㐰愰㙣㙣捣㐲挷ㄵ㠵㔵〷愲捥㑦㔵ㅦ扢搰搷㉥ㅣ愴ぢ㤵〷愳㐰㉦㐱㐱晥㠸愲慡〶㥥㤹捤攰㙣挸㕤㙡挷㌴戸㕦搶ㄶ㥣〳㜵㌹搴㌲㌷㝦っ摥㔱ㄲ㥣ぢ㑤ㄷ㘸ㅣ敢㕢慡晡㘹㉦挶戱㌰捡㡢捦攴ㄵ㘸㙡〰昴㍣㐱㠵搴㜵攰㤱〷㄰散㌸㄰㝥㠶ㅦㅥ〸㠷挰㈶㐴㥤〸〵ぢ昲㌷搰搶㍡て〴㌵〸㕡ㅥっ㐶〳戱㠳㝤㌱㐳㙣㙤㔸晢挳て㥥敥㐱换㥤㔵㕤㠵〰戸㡢㐰㠹愹㍥摡㤰㘲㜵〵㌴㑣戳㍢㑤挳搰㐰搲㘴〲㠷㌴つ㐷㥤㥦慡㈳散挲〸扢㜰愴㉥㔴㡥㐴愱㜳搲㜴ㄴ㍣㌳㕥㠳㘹㌲㤸ㄴ㠳㜹愸ㅡ㘵敢愳㔴敤㐳㐴㑦〸㌵ㅡ㝡㡢昸㡢戰㘵ㄹ攲㥢〱㈳昱㘳㘰ㄷ攲㕢愰㐸ㄳ㕦㙢㙢㕤挴㡦㠵㔶㠸㕦㑣散㜸㕦捣㐴㕢㥢搰晥昰㠳㈷㡤搰ち昱攷㈲㠸㙣攲捦昱㈵㝥㌲ㅡ〹昱㑢攱〳挴㑦㐱㥤㥦慡愹㜶㘱㥡㕤㤸慥ぢ㤵㌳㔰攸ㅣ攲㘷挲㌳户挵㑢晣㌱戶晥㘴㔸攵挵㜷挶㝥㠰愹㔹搰㕢挴慦㜲ㄱ㝦㍡㘰㈴㝥㌶散㐲晣ち㈸搲挴捦戱戵㉥攲攷㐲㉢挴慦㈴昶㌸㕦捣〹戶㜶㤵昶㠷㥦㠰㍡ㄱ㕡㈱晥㔴㕦攲㑦昶㈵晥攷㘸㈴挴慦㠱て㄰摦㠰㍡㍦㔵昳散㐲搸㉥捣搷㠵捡㐶ㄴ㍡㠷昸㈶㜸收戶㜸㠹㌷㙤晤㌹戰捡ㅢ〰㡤㠳〰㔳ぢ愰户㠸㑦戸㠸㍦て㌰ㄲ扦㄰㜶㈱晥㝣㈸搲挴㐷㙤慤㡢昸㤳愰ㄵ攲㉦㈰㌶收㡢㘹戱戵ㄷ㘹㝦昸挱ㄳ㐶㘸㠵昸㐵扥挴㐷㝤㠹㕦㠲㐶㐲晣愵昰〱攲ㄳ愸昳㔳㤵戴ぢ㈹扢搰慡ぢ㤵㑢㔱攸ㅣ攲㤷挱㌳户挵㑢晣㜲㕢㝦〵慣昲收㐴攳㄰挰搴挹搰㕢挴㠷㕤挴慦〳㡣挴㥦〲扢㄰扦ㅥ㡡㌴昱愷摡㕡ㄷ昱愷㐱㉢挴㕦㑢散ち㕦捣㑡㕢㝢㥤昶㠷㥦㠰㕡〵慤㄰㝦扣㉦昱挷晡ㄲ㝦〶ㅡ〹昱搷挳〷㠸㕦㡤㍡㍦㔵扦戴ぢ㙢散挲㤹扡㔰㜹ㄶち㥤㐳晣搹昰捣㙤昱ㄲ㝦㡥慤摦〰慢扣㕤搲ㄸ〲㤸㍡ㄷ㝡㡢昸ㄹ㉥攲㙦〱㡣挴晦ㅡ㜶㈱晥㔶㈸搲挴㥦㘷㙢㕤挴㥦て慤㄰扦㠹搸ぢ㝣㌱ㄷ搹摡摢戵㍦晣〴搴挵搰ち昱㜵扥挴㑦昰㈵晥ㄲ㌴ㄲ攲敦㠲て㄰㝦㈹敡晣㔴慤戵ぢ㤷搹㠵换㜵愱昲ちㄴ㍡㠷昸㉢攱㤹摢攲㈵晥㉡㕢扦ㄹ㔶㜹摤愶㌱〲㌰戵づ㝡㡢昸㔱㉥攲敦〳㡣挴慦㠷㕤㠸扦ㅦ㡡㌴昱搷搸㕡ㄷ昱搷㐲㉢挴㍦㐸散㜵扥㤸㍦搸摡㠷戵㍦晣〴搴昵搰ち昱挳㝣㠹㍦摣㤷昸ㅢ搰㐸㠸摦〲ㅦ㈰晥㐶搴昹愹晡㤳㕤搸㘰ㄷ㙥搲㠵捡㥢㔱攸ㅣ攲晦っ捦摣ㄶ㉦昱户搸晡㈷㘰㌵挶㄰㌱ㅡ㐲㙤㠴摥㈲㝥㠰㡢昸㘷〰㈳昱㥢㘰ㄷ攲㥦㠵㈲㑤晣㙤戶搶㐵晣敤搰ち昱捦ㄳ㝢㠷㉦收㉥㕢晢愲昶㠷㥦㠰扡ㅢ㕡㈱扥㡦㉦昱〷昸ㄲ晦㌷㌴ㄲ攲㕦㠶て㄰扦ㄹ㜵㝥慡敥戱ぢ昷摡㠵扦敢㐲攵㝤㈸㜴づ昱昷挳㌳户挵㑢晣〳戶晥㔵㔸攵昵慤挶〴挰搴㐳搰㕢挴昷㜴ㄱ晦㈶㘰㈴晥㘱搸㠵昸户愰㐰㔹晥搴㈳戶搶㐵晣愳搰ち昱敦〰慢戶昸㘲ㅥ户戵敦ㄱ〳㝦昸挱敡㌴㘸㠵昸摤㝤㠹敦收㑢晣㤳㘸㈴挴㝦〴ㅦ㈰晥㈹搴昹愹㝡摡㉥㍣㘳ㄷ㥥搵㠵捡攷㔰攸ㅣ攲㥦㠷㘷㙥㡢㤷昸ㄷ㙣晤愷戰捡摢㙤㡤愹㠰愹㤷愰户㠸㉦㜷ㄱ晦〵㘰㈴晥㥦戰ぢ昱㕦㐲㤱摥攳晦㘵㙢㕤挴扦っ慤㄰晦㌵戱慦昸㘲㕥戵戵摦㘸㝦昸挱㑡㌹㘸㠵昸㘲㕦攲ぢ㝤㠹㝦〳㡤㠴昸敦攱〳挴扦㠹㍡㍦㔵㙦搹㠵户敤挲㍢扡㔰昹㉥ち㥤㐳晣㝢昰捣㙤昱ㄲ晦扥慤㉦㐰慣昲㉡㘰愳ㅥ㌰昵㈱昴ㄶ昱摦㝥敢扣㠱ち〲㐶攲㍦㠲㕤㠸㉦㠱㈲㑤晣㌶㕢敢㈲晥㘳㘸㠵㜸扥ㄳ㕦㝤敡㡢昹摣搶㤶㘹㝦㐲晣ㄷ搰ち昱晦㐶㄰搹㌷㔰㥦㐱㥢㝤攷晡㈵ㅡ挱〹㕥愵て〹攲扦㐲㥤㥦慡慦敤挲㝦散挲㌷扡㔰昹㉤ち㥤㐳晣㜶㜸昶㈳晥㍢㕢摦ㄵ㔱捡敢㤲㡤攳㄰愴晡〱㝡㡢昸昷㕤挴敦〱ㄸ㠹愷㌳㈱扥㍢ㄴ㘹攲㤵慤㜵ㄱ捦㌹㌹㈱扥〷戱㥣㤳㤳㤶㉥㡣㑣愳愱㘳㘳㙦敤て㈸㉣㡦㠳ㄴ攲摦昰㈵晥㌵㕦攲つ㌴㠲ㄳ捣愵㐰㠲㜸㑥㥣昱㔳㔵㘶ㄷ㌸㔳㈶㥡ち㕤愸攴㐴㔹攷㄰捦改㌵昶攲摤攳慢㙣晤晥㠸搲㤸㐷㐴〳㠴摡ㄵ㝡㡢昸㤷㕣挴昷〵㡣挴㜳ㄶ㑥攸㍢〸㡡㌴昱摤㙣慤㡢搴摤愰ㄵ攲㙢㠸摤挳ㄷ㈳昳㕦散扤扦昶〷ㄴㅥ㡤㐲ち昱㑦晢ㄲ晦愴㉦昱㥣〵㠳ㄳ捣㤴㐰㠲㜸捥㜸昱㔳戵㡦㕤攸㘵ㄷ慡㜵愱戲㌷ち㥤㐳㍣攷挵搸㡢㤷昸晤㙣晤㄰㐴㈹㉦攳㌶昸㘲て㜵〰昴ㄶ昱㡦戸㠸ㅦづㄸ㠹攷ㄴ㥡㄰㝦〴ㄴ㘹攲晢搸㕡ㄷ昱㥣〹ㄳ攲㡦㈴㤶㌳㘱搲搲㠵㤱挹㉢挶㜷㤴昶〷㔴㐰㜱昲㑡㠸晦扢㉦昱昷昸ㄲ捦㈹㉣㌸挱ㄸつㄲ挴て愴㉢㝣慡㌸㘵㈵㠵㐳敤〲攷愸昸愹㍣っ㠵捥㈱㝥〸㍣戳ㄷ㉦昱㠷摢晡昱㠸㔲㕥㕢㙥㉣〲㑣つ㠳摥㈲晥㉦㉥攲㈷〱㐶攲㌹昷㈵昴㑤㠶㈲㑤㍣攷扡戲㐹攵ㄴ㤶㄰㍦㤵㔸㑥㘱㘵㘳㐶搹摡改摡ㅦ敡㜸㔴〷㈹挴晦搹㤷昸㥢㝣㠹攷摣ㄳ㥣㘰㤵㍥㈴㠸慦愵㉢㝣慡㌸搷㈴㠵㜱㜶㠱㤳㑢晣㔴㑥㐰愱㜳㠸攷㙣ㄴ㝢昱ㄲ㕦㘷敢攷㈲㑡㜹㤵扢挱ㄷ㤲㈸捥㠳〸㍤挷㐳捦㠶晣慢攲㘴㠸㙣搳〹㐴晦っ愲愲愰捡摥㜳㤵㑣㑦戰㡦戴㠶㙤㘶搸㙤㝥㑥㜸㘱昱㉣搴㐷攴㝥㘷㠴攳㤹㜵つ㘶㑥㕣慦晥ㅥ㠷㔷㜹户攱攲ㄳ㈸挴晦㡣㔶㉣捦扢㡢ち㡥搸㌹㕦㥣㤷攲晦挱挹扦攲昵挸攰晦挳て㠹捡㑣㈶搱㘳㉦晣ㄹ昳戰挱敡㔸㙣㉥㘷㜵扤㙦㈸扤〲㕤晡扥ぢ攵㜲㙤挸㝡㝤㉢㥦挸㑢㑡㈲昰㡢戲㤵ㄲ㍥㤶㐷ㅤ㉦㌶ㄳ㝡㤵㍣㝡㘷摤㤵㠴戰㡤㡡㕡㈸ㄳ㜵㈶㐲㕤㡣摥戸昵ㄲ昰㈲ㄸ㔵ㄴ㙡扦㠰㝦㤳㉢攰昳戵㈱敢㤵慡捤散㠰愱㉣㠱㕦㤴慤㠰昹㌸ㅢ㜵散㙣㔶㈸㡢㙤㤴㉢攰㠴㡤㑡㔹愸愵愸㑢挰攷㌸〳㕥ち愳攲攳㕤扦㠰㝦㤹㉢攰搵摡㤰昵㥡㔳㍥〱㤶㠰㑦㠵㕦㤴慤㠰昹ㄸㄸ昵㠰㜱㥡ㄵ捡㑡ㅢ攵ち㜸㤵㡤㕡㘱愱搶愰㉥〱户㍢〳㕥〹愳攲㘳㔱扦㠰㑦挹ㄵ昰挹摡㤰昵敡㔱㍥㌹㤵㠰搷挰㉦捡㔶挰攷愳㠴㍡晥㉦〱㉢㤴ぢ㙣㤴㉢攰㡢㙣搴搹ㄶ敡㔲搴㈵攰㔶㘷挰扦㠲㔱昱㜱愲㕦挰㡢㜳〵ㅣ搷㠶慣搷㠱慥戳㐳戹〰㝥㔱戶〲㕥㡦ㄲ敡㜸㌱戱ㄵ捡戵㌶捡ㄵ昰㜵㌶敡户ㄶ敡㝡搴㈵攰㤳㥣〱㕦〲愳摡〰㤳㕦挰㘶慥㠰㥢戴㈱敢ㄵ㥤㝣㔲㈷っ㕦〹扦㈸㕢〱摦㡡ㄲ敡㔸㤰㙦㠵戲挹㐶戹〲扥摤㐶慤戳㔰㝣㤲㈶〱㌷㌸〳扥〶㐶挵挷㔷㝥〱ㅦ㥦㉢攰攳戴㈱敢戵㤹㝣挲㈵〱晦ㄱ㝥㔱戶〲扥ㅦ㈵搴〳挶昵㔶㈸て摡㈸㔷挰て摢愸ㅢ㉤ㄴ㥦㐰㐹挰戳㥣〱㙦㠰㔱昱戱㡦㕦挰搳㜳〵㍣㑤ㅢ戲㕥㘵挹㈷㐳ㄲ昰㐶昸㐵搹ち昸㔹㤴㔰挷摢攵慣㔰㥥户㔱慥㠰㕦戴㔱户㕢㈸㍥戹㤱㠰敢㥣〱摦〱愳㝡ㄵ㈶扦㠰挷收ち戸㔶ㅢ戲㕥㉦挹㈷㉡ㄲ昰㘶昸㐵搹ち昸㉤㤴㔰挷晡㜳㐸攳㕥㠸㡡〲昵㡥つ㜵㐵晤㥥つ扤㡦愸㐲昵ㄱ敡ㄲ昵㐸㘷搴て挰愸昸慣挱㉦敡㘱戹愲ㅥ慡つ㔹敦㝤攴攳〸㠹晡㌱昸㐵搹㡡晡㑢㤴㔰挷㑢㥣慤㔰扥戶㔱慥㠰昹愴㐱㔰㡦㕢㈸㍥㉥㤰㠰て㜵〶晣〴㡣㡡昷攸㝥〱昷捦ㄵ㜰㍦㙤挸㝡ㄷ㈳㙦攳㈵攰攷㔰㐰㠷㔶挰扣㤷挷㌷㘰㍣て〹敥攴㝥㥤㜵㔷挰㘵㌶敡㐵ぢ挵摢㙣〹戸㡦㌳攰㝦㐲慢㜸㙦敢ㄷ昰扥戹〲敥慤つ㔹敦㐷攴敤慦〴晣㉡ち改㠰㜹て㡣㙦挰㜸つㄲ〱换㝤㙥㔶挰扣戳ㄵ搴ㅢㄶ慡ㅡ㍦ㄲ昰摥捥㠰摦㠲㔶昱㥥搰㉦攰㍤㜲〵扣扢㌶㘴扤戳㤰户㡤ㄲ昰〷㈸愴〳收扤㈳扥㜸改ㅥ㈴〲慥挱㡦愰㕣っ昳㡥㔰㔰摢㉣ㄴ㙦敢㈴攰㕤㥣〱㝦〲慤攲扤㤴㕦挰攵戹〲㉥搳㠶慣昷〸昲㜶㑢㐲昹ㄲ㠵㜴挰扣攷挲㌷㘰㝣〵㠹㠰攵扥㉡㡢㘱摥㐹〹敡㍦ㄶ㡡户㐳ㄲ㜰搰ㄹ昰户搰㉡摥㠳昸〵慣㜲〵ㅣ搰㠶慣㜷晢昱㌶㐵〲收扦挲㤶づ㜸㌲戴昸攲ㄵ㝦搰㈲㘰戹ㅦ挹ち㤸㜷㈰㠲㉡戲㔰扣㡤㤰㠰扦晤挶㌱㘴ぢ挲愸㌸㜶昷ぢ昸㑢㈰㝤挷㤸㕦㘸㠳昷㝤㝢㔵ㅣ敤㑢愷攵昰㙢㔴㔰㜴㠱〸㈹づ昸愵昷㑦㜵敦㝤ㄱ㌰晥て㐵挵㥢〰㌱㝣愲つ扢搰㔰㔰㔸捣攱晥挱戹挷收搶㑢㐴㌲晦㝣㔱㈵㥡ㄵ㐷戸散愸㉣㘲晤敢㐱ㅣ愱换㉢搹㘲戲㘶愷ㅣ敦ㄳ㐹攰ㅦ㄰㥡㠲㌷攵攰㉤㈲昸㈷〱昵㍡ㄸ扣㐱㠷敦㜵戰摦㔸㘱㐸㡤㡤㠳㤱改〹扣挲愲㈴㔲㤷挴晢㜸㥡㑡昱慦㜲愴昸慦摢晤ㄴ㤶捦㘱ㄵ㔵ㄱ敦㘴戰㕢昰㤵㙤〵扥ぢ㤸戸㌲挹晢㠶ぢ挷㑢㠷㌲㝣搸㉦㥥㉡攰㙢㐸㜶㙥昱㕣㜰ㄷ攴㌹昳㉦挹挸㡡愹㘴㠱摡㠶慣捡昳换てづ摤㔳ㄶ攵㜰攲挰攸ち㙣戰ㅢ〴晦昱ち㈵摢㠱晦晦挹搸つㅡ㙢㥤敤㑡㙥㔹昱㍣散〲摥つ攳㜲㌲㉥㔰〹㜸晥つ㥣戲㌲㙥敤慣戵㜷ㅤ晤摤攰ㄳ㐷㔷昱ㅥ〷㕦扣㄰㥤㍥扢㔳散〹ㄱ㔲扣捤㤱晤敤㙤昷晥愶㜸㘷挳㝤捥攰㠶ㄴ愸㌷㝤〳敦㐹㐷っ㍣ㄳ㜴㉦慡ㄸ慦〸晣晦㑥昰挱挰搳愱昰敥〵㕦扣敢㠷挸㝤㈹昶㠳〸㈹摥挰㐸㈸㉦㝢㐲攱㍤㡢㈳㤴㝦晡㠶搲㠷㡥摣愱ㅣ㐴㤵㈳ㄴ摥摥戸㐲攱㝤〹扥〱愳㠶挸㝥ㄴ晤㈱㐲㡡户㈶ㄲ捡搳㥥㔰㜸㌷攲〸攵㐹摦㔰〶搱㤱㍢㤴挱㔴㌹㐲攱㡤㡢㉢ㄴ摥㜱攰㡢㌷㠲㄰㜹㌸挵㔰㠸㤰攲㑤㠷㠴昲㠸㈷ㄴ摥㘷㌸㐲㜹挸㌷㤴ㄱ㜴攴づ㘵㈴㔵㡥㔰㜸㑢攲ち㠵昷ㄲ昸攲戵ㅥ㐴ㅥ㑤㌱ㅡ㈲愴㜸㍢㈱愱㙣昶㠴挲㍢〸㐷㈸㜷晢㠶㌲㡥㡥摣愱㑣愰捡ㄱち㙦㌶㕣愱昰㉥〱㕦㉣晣㈵㜲ㄲ挵㘴㠸㤰扡ち㕡〹㘵㤳㈷㤴㜵㌰㌸㐲戹搵㌷㤴改㜴攴づ㘵㈶㔵㡥㔰㜸ㅢ攱ち㠵攳㝦㝣昱晣㠹挸㔹ㄴ戳㈱㐲㡡户〰ㄲ捡つ㥥㔰㙥㠴挱ㄱ捡ㅦ㝤㐳㌹㡥㡥摣愱㥣㐰㤵㈳ㄴ摥㈰戸㐲攱挸ㅥ㕦扣慢㠲挸㥦㔳㌴㐰㠴ㄴ〷昷ㄲ捡㍡㑦㈸ㅣ捦㍢㐲戹捡㌷㤴㐶㍡㜲㠷㘲㔲攵〸㠵㐳㝦㔷㈸㥢愱挰ㄷ㡦㑢㠸㕣㐸ㄱ㠵〸㈹づ摢㈵㤴㡢㜵㈸搶〵づ晦㐲愷㙤昸慤㌶㜰㉤㤳ㄱ㐳㈳挵昱扢㈳捡ぢ㝣愳㡣戳て㜷㤴㑢愸㜲㐴挹愱扥㉢㑡㡥搱昱挵㑢ㅣ㠸㑣㔱戴㐲㠴搴ㄶ㘸㈵捡戳㜵㌰晡㙡慢㌸㌲㜷㠴㜲愶㙦㈸㙤㜴攴づ攵ㄴ慡ㅣ愱㜰㄰敦ち㠵愳㙦㝣昱昴㠳挸搳㈹㔶㐰㠴ㄴ〷攰ㄲ㑡扢㈷ㄴ㡥戹ㅤ愱㥣敥ㅢ捡㉡㍡㜲㠷戲㥡㉡㐷㈸ㅣ㥥扢㐲㜹ㄵち㝣昱㙦㐶ㄱ㜹㈶挵㔹㄰㈱挵愱戵㠴戲搴ㄳち㐷搳㡥㔰㔲扥愱㥣㑢㐷敥㔰捥愳捡ㄱち〷摥慥㔰㍥㠰〲摦㠰昱ㅢ㈲㉦愰戸㄰㈲愴㌸㘸㤶㔰㘲㥥㔰㌸㑥㜶㠴㜲㤲㙦㈸㤷搰㤱㍢㤴戵㔴㌹㐲攱㤰摡ㄵち挷挲昸攲㥤〲㐴㕥㐱㜱㈵㐴㐸㜱㌸㉣愱捣昷㠴挲ㄱ戰㈳㤴㜹扥愱慣愷㈳㜷㈸搷㔲攵〸㠵㠳㘵㔷㈸ㅣ攵㑡㈸搷ㄱ昹㝢㡡㍦㐰㠴ㄴ〷扡ㄲ捡戱㥥㔰㌸戶㜵㠴㌲挷㌷㤴ㅢ改挸ㅤ捡〶慡ㅣ愱㜰ㄸ散っ㐵㜱晣㉡㍤捥搴㍤ㅥ〹㡡㑡ぢ㠲㡡㘳㕡㌱捣搰〶扥敤慢ㄴ慦㜹攳㌸㔷っ搳戵㘱ㄴ㐹扤ㄵ摡攲慥㄰ㅤㅥ㠷㈹㌴摢挹昵晤ㅢ搱㡦攲㈰㡡㍥㡣㑤扡挰㡡攲㌰㐸愲㥢散搹ㅥづ㡤挴㌰挹戳㍤ㅣ㉥㠹愱捥戹㍤㜷搰㘹㑦〸㙥㤳㜱㈷㙢ㅣ〰㐹㠷㜷改㠲㜴挸挱㡥㌴ㅦ攷改㤰〳㈰㌱㡣昵㜴挸㐱㤱ㄸ㙡㥤ㅤ㙥愶搳㍥㄰搲攱㍤慣㜱㤸㈳ㅤ摥慢ぢ搲㈱㠷㌴搲㝣㤴愷㐳づ㜳挴㜰㤴愷㐳づ㝤挴㌰搲搹攱〳㜴捡ㄱ㡤㜴昸㈰㙢㠳㈹㐸改㐳扡㈰ㅤ㜲攰㈲捤㠷㝢㍡攴㘰㐶っ挳㍣ㅤ㜲㠰㈳㠶愱捥づㅦ愳㔳㡥㕢愴挳㉤慣㡤愴㘰㠷㕢㜵㐱㍡ㅣ㠵㡡㌴ㅦ散改㤰㐳ㄶ㌱ㅣ敡改㤰挳ㄸ㌱っ㜲㜶昸㈴㥤㡥㠳㤰づ㥦㘲㙤〲〵㍢㝣㕡ㄷ愴㐳づ㐲愴㜹㝦㑦㠷ㅣ㤸㠸愱㥦愷㐳づ㔶挴㔰攳散昰㜹㍡攵ㄸ㐴㍡㝣㠱戵㤹ㄴ散昰㐵㕤㤰づ敢㔱㤱收㝤㍣ㅤ捥戲つ〷㝡㍡攴㤰㐴㕡ㅣ攰散昰㘵㍡㍤づ㐲㍡晣ㅦ搶㌸挸㤰づ㕦搱〵改昰㐴㔴愴㜹㙦㑦㠷ㅣ㘴㠸愱摡搳㘱㠳㙤攸攵散昰㜵㍡攵㜸㐲㍡㝣㠳㌵㤳㠲㕢昸愶㉥㐸㠷ぢ㔰ㄱ扦㝢㜹㍡攴㔰㐲っ㍤㍣ㅤ㜲㜸㈱㠶㍤㥤ㅤ扥ぢ㙤㈵〷ㄱ攵攸愲攴㈹扣㘷攸收挲〷戰㙥敤〱㜵㙤挱㈷㠱㤹攸㙢愶㉡挴晢ㄲ㠰㤰㤰摥㐳㐱㉤愱㘰㐸敦敢㠲㠴㤴㐴㐵㍡搸捤ㄳ㔲捡㌶㜴昳㠴挴戱㠴戴攸敡っ㘹ㅢ㥤戶㐱㐸㠷ㅦ戳挶搱㠱㜴昸㠹㉥㐸㠷愷愱㈲捤㉢㍤ㅤ㜲㜴㈰㠶㉥㥥づ㔷搸㠶ち㘷㠷晦愶搳㔵㄰搲攱ㄷ慣慤愶攰ㄶ㝥愹ぢ搲攱ㅡ㔴挴慦攱改㤰㘳〰㌱㤴㝡㍡㍣换㌶㤴㌸㍢晣㠶㑥㜹戹㤷づ扦㘵㡤㔷㝡改㜰扢㉥㐸㠷扦㐱㐵晣ㄶ㝡㍡攴㤵㕥っ〵㥥づ㉦戴つ捡搹㈱晦㙦㈰挵㡢扡㜴愸㔸㕢㡢㥡㜴㔸挰ㅡ㌶㔵晥㉥户㥢㝦昷ㅦ敢攱㡥㝤戹攲昵㕣㍡摣慥つ昶攵敡㑡摢昰慤㌶挸攵㉡㐸愷扣㜴㑢㠷㈵慣㕤㡢㥡㜴㔸敡散昰㍡扢昹㔷㥥づ㜹搵㤶づ扦昴㜴昸〷摢昰㠵戳挳㜲㍡攵〵㕡㍡慣㘰㡤搷㘶改戰㡢愳挳㑡㕥㐸攷㘲㜳ぢ㤶慢挶㜹㑤昳收㝤㕤㔹㔴摤愳攸搸愳换搷扥晡搸敢ㄷ㍣晢戳㤱敦㙣扦攲㡡㘷摦扣㘰敢昶扢攷㡦㝣昸㥡㙢ㅥ㤸㜴昵搶搷㜷㡤慣㉢戸晤敢㈹敢㑥ㅤ戴攸搴㈵㤱搹〷㑦㌸昵戸㤳㘶づ㥡戱㑢㑤㘱㘱㐹㐹㥦慥㡦㜴敦㕢搵扥攴づ昵昷㤷昶㘸㔱ㅢ敤㙥敤攷㤴攸㉣㔰挵㡢愸っ㐹慡㄰㑣㐵㘱㈵慦㝦㥤ㅡ㠶㕣㔲搱㜳晡㠱戴㠴挱㑢慢㠴戱慢ㄵ〶慦㡡㥤ㅡ㠶㕣㘸戳挲攰〵㔷挲攸㘶㠵挱㙢㘵愷㠶昱㈰㍡㤰㝤挱㤵ㄴ㕥㠶㈵㡣摤慤㌰㜸〵敤搴㌰攴愲㥣挵〶㉦捥ㄲ㐶㜷㉢っ㕥㔷㍢㌵っ戹㔴㘷㠵挱㑢戶㠴搱挳ち㠳㔷摢㑥つ㐳㉥攰㔹㘱昰㐲㉥㘱散㙤㠵挱㙢㜰愷㠶㈱㤷昵慣㌰㜸㜹㤷㌰昶戱挲攰㤵戹㔳挳㤰㡢㝤㔶ㄸ扣攸㑢ㄸ搵㔶ㄸ扣㕥㜷㙡ㄸ㜲㠱捦ち㠳ㄷ㝡〹㘳㕦㉢っ㕥愳㍢㌵っ戹散㘷㠵挱换扦㠴戱扦ㄵ〶慦摣㥤ㅡ㠶っ〶戲挲攰愰㐰挲㌸搰ち㠳搷昳㑥つ㐳㠶〸㔹㘱㜰愸㈰㘱昴戵挲攰㔵扥㔳挳㤰㠱㐳㔶ㄸㅣ㐰㐸ㄸ〷㕢㘱昰摡摦愹㘱挸㜰㈲㉢っづ㉢㈴㡣㝥㔶ㄸㅣㄱ㜴㙡ㄸ㌲挸挸ち㠳㠳つ〹㘳㠰㠴愱㜸扤㤷㜱捣㔳㝡戸㌲〶㑤㌸㘱挵㉢戰ㄸ㥥昴ㄸ㜸㑤ㄴ挳ㄳㅥ〳慦㔲㘲昸㠷挷挰敢㠶ㄸㅥ昷ㄸ㜸㈶ㄷ挳㔶㡦㠱攷㔶㌱㙣昱ㄸ㜸戶ㄳ挳㘳ㅥ〳捦㍦㘲㜸搴㘳攰ㄹ㐱っ㡦㜸っ㍣㐶挵昰戰挷挰愳㐶って㜹っ摣㡦挵昰愰挷挰㍤㑢って㜸っ捣戵ㄸ敥昷ㄸ挸扥ㄸ敥㜳ㅢ捡晥て㄰㐹㙦㜰</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</si>
</sst>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
    <numFmt numFmtId="167" formatCode="0.0,,"/>
    <numFmt numFmtId="168" formatCode="&quot;$&quot;#,##0"/>
    <numFmt numFmtId="169" formatCode="&quot;$&quot;0.0,,"/>
    <numFmt numFmtId="170" formatCode="_(* #,##0_);_(* \(#,##0\);_(* &quot;-&quot;??_);_(@_)"/>
    <numFmt numFmtId="171" formatCode="&quot;$&quot;#,##0.00"/>
    <numFmt numFmtId="172" formatCode="0.0000%"/>
    <numFmt numFmtId="173" formatCode="_(&quot;$&quot;* #,##0_);_(&quot;$&quot;* \(#,##0\);_(&quot;$&quot;* &quot;-&quot;??_);_(@_)"/>
    <numFmt numFmtId="174" formatCode="0.00,,"/>
  </numFmts>
  <fonts count="95">
    <font>
      <sz val="11"/>
      <color theme="1"/>
      <name val="Calibri"/>
      <family val="2"/>
    </font>
    <font>
      <sz val="11"/>
      <color indexed="8"/>
      <name val="Calibri"/>
      <family val="2"/>
    </font>
    <font>
      <sz val="9"/>
      <name val="Tahoma"/>
      <family val="2"/>
    </font>
    <font>
      <b/>
      <sz val="9"/>
      <name val="Tahoma"/>
      <family val="2"/>
    </font>
    <font>
      <b/>
      <sz val="11"/>
      <color indexed="8"/>
      <name val="Calibri"/>
      <family val="2"/>
    </font>
    <font>
      <sz val="10"/>
      <name val="Arial"/>
      <family val="2"/>
    </font>
    <font>
      <sz val="9"/>
      <name val="Arial"/>
      <family val="2"/>
    </font>
    <font>
      <b/>
      <sz val="12"/>
      <name val="Arial"/>
      <family val="2"/>
    </font>
    <font>
      <b/>
      <sz val="16"/>
      <name val="Arial"/>
      <family val="2"/>
    </font>
    <font>
      <b/>
      <sz val="12"/>
      <color indexed="12"/>
      <name val="Arial"/>
      <family val="2"/>
    </font>
    <font>
      <sz val="10"/>
      <color indexed="42"/>
      <name val="Arial"/>
      <family val="2"/>
    </font>
    <font>
      <b/>
      <sz val="11"/>
      <name val="Arial"/>
      <family val="2"/>
    </font>
    <font>
      <b/>
      <sz val="9"/>
      <name val="Arial"/>
      <family val="2"/>
    </font>
    <font>
      <b/>
      <sz val="8"/>
      <name val="Arial"/>
      <family val="2"/>
    </font>
    <font>
      <vertAlign val="superscript"/>
      <sz val="9"/>
      <name val="Arial"/>
      <family val="2"/>
    </font>
    <font>
      <sz val="8"/>
      <name val="Arial"/>
      <family val="2"/>
    </font>
    <font>
      <sz val="10"/>
      <color indexed="9"/>
      <name val="Arial"/>
      <family val="2"/>
    </font>
    <font>
      <sz val="9"/>
      <color indexed="12"/>
      <name val="Arial"/>
      <family val="2"/>
    </font>
    <font>
      <b/>
      <sz val="9"/>
      <color indexed="12"/>
      <name val="Arial"/>
      <family val="2"/>
    </font>
    <font>
      <vertAlign val="superscript"/>
      <sz val="8"/>
      <name val="Arial"/>
      <family val="2"/>
    </font>
    <font>
      <b/>
      <vertAlign val="superscript"/>
      <sz val="9"/>
      <name val="Arial"/>
      <family val="2"/>
    </font>
    <font>
      <sz val="11"/>
      <color indexed="9"/>
      <name val="Calibri"/>
      <family val="2"/>
    </font>
    <font>
      <b/>
      <sz val="10"/>
      <color indexed="12"/>
      <name val="Arial"/>
      <family val="2"/>
    </font>
    <font>
      <sz val="8"/>
      <color indexed="17"/>
      <name val="Arial"/>
      <family val="2"/>
    </font>
    <font>
      <b/>
      <sz val="14"/>
      <name val="Arial"/>
      <family val="2"/>
    </font>
    <font>
      <sz val="14"/>
      <name val="Arial"/>
      <family val="2"/>
    </font>
    <font>
      <b/>
      <sz val="10"/>
      <name val="Arial"/>
      <family val="2"/>
    </font>
    <font>
      <sz val="10"/>
      <color indexed="23"/>
      <name val="Arial"/>
      <family val="2"/>
    </font>
    <font>
      <b/>
      <sz val="10"/>
      <color indexed="55"/>
      <name val="Arial"/>
      <family val="2"/>
    </font>
    <font>
      <sz val="9"/>
      <color indexed="55"/>
      <name val="Arial"/>
      <family val="2"/>
    </font>
    <font>
      <u val="single"/>
      <sz val="10"/>
      <color indexed="12"/>
      <name val="Arial"/>
      <family val="2"/>
    </font>
    <font>
      <sz val="10"/>
      <color indexed="12"/>
      <name val="Arial"/>
      <family val="2"/>
    </font>
    <font>
      <b/>
      <sz val="10"/>
      <color indexed="9"/>
      <name val="Arial"/>
      <family val="2"/>
    </font>
    <font>
      <sz val="10"/>
      <color indexed="55"/>
      <name val="Arial"/>
      <family val="2"/>
    </font>
    <font>
      <u val="single"/>
      <sz val="11"/>
      <color indexed="12"/>
      <name val="Calibri"/>
      <family val="2"/>
    </font>
    <font>
      <b/>
      <sz val="10"/>
      <color indexed="23"/>
      <name val="Arial"/>
      <family val="2"/>
    </font>
    <font>
      <sz val="10"/>
      <color indexed="8"/>
      <name val="Arial"/>
      <family val="2"/>
    </font>
    <font>
      <sz val="10"/>
      <name val="Times New Roman"/>
      <family val="1"/>
    </font>
    <font>
      <b/>
      <u val="single"/>
      <sz val="10"/>
      <name val="Arial"/>
      <family val="2"/>
    </font>
    <font>
      <i/>
      <sz val="11"/>
      <color indexed="8"/>
      <name val="Calibri"/>
      <family val="2"/>
    </font>
    <font>
      <i/>
      <sz val="10"/>
      <color indexed="8"/>
      <name val="Calibri"/>
      <family val="2"/>
    </font>
    <font>
      <i/>
      <sz val="9"/>
      <color indexed="8"/>
      <name val="Calibri"/>
      <family val="2"/>
    </font>
    <font>
      <sz val="11"/>
      <color indexed="12"/>
      <name val="Calibri"/>
      <family val="2"/>
    </font>
    <font>
      <b/>
      <sz val="11"/>
      <color indexed="12"/>
      <name val="Calibri"/>
      <family val="2"/>
    </font>
    <font>
      <i/>
      <sz val="10"/>
      <name val="Arial"/>
      <family val="2"/>
    </font>
    <font>
      <sz val="14"/>
      <color indexed="8"/>
      <name val="Calibri"/>
      <family val="2"/>
    </font>
    <font>
      <b/>
      <u val="single"/>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8000"/>
      <name val="Arial"/>
      <family val="2"/>
    </font>
    <font>
      <b/>
      <sz val="10"/>
      <color theme="0"/>
      <name val="Arial"/>
      <family val="2"/>
    </font>
    <font>
      <b/>
      <sz val="10"/>
      <color theme="0" tint="-0.3499799966812134"/>
      <name val="Arial"/>
      <family val="2"/>
    </font>
    <font>
      <sz val="10"/>
      <color theme="0" tint="-0.3499799966812134"/>
      <name val="Arial"/>
      <family val="2"/>
    </font>
    <font>
      <b/>
      <sz val="10"/>
      <color theme="0" tint="-0.4999699890613556"/>
      <name val="Arial"/>
      <family val="2"/>
    </font>
    <font>
      <sz val="10"/>
      <color theme="1"/>
      <name val="Arial"/>
      <family val="2"/>
    </font>
    <font>
      <i/>
      <sz val="11"/>
      <color rgb="FF000000"/>
      <name val="Calibri"/>
      <family val="2"/>
    </font>
    <font>
      <i/>
      <sz val="11"/>
      <color theme="1"/>
      <name val="Calibri"/>
      <family val="2"/>
    </font>
    <font>
      <i/>
      <sz val="10"/>
      <color theme="1"/>
      <name val="Calibri"/>
      <family val="2"/>
    </font>
    <font>
      <i/>
      <sz val="9"/>
      <color theme="1"/>
      <name val="Calibri"/>
      <family val="2"/>
    </font>
    <font>
      <sz val="11"/>
      <color rgb="FF0000FF"/>
      <name val="Calibri"/>
      <family val="2"/>
    </font>
    <font>
      <b/>
      <sz val="11"/>
      <color rgb="FF0000FF"/>
      <name val="Calibri"/>
      <family val="2"/>
    </font>
    <font>
      <sz val="14"/>
      <color theme="1"/>
      <name val="Calibri"/>
      <family val="2"/>
    </font>
    <font>
      <b/>
      <u val="single"/>
      <sz val="11"/>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
      <patternFill patternType="solid">
        <fgColor indexed="42"/>
        <bgColor indexed="64"/>
      </patternFill>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theme="0" tint="-0.499969989061355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right/>
      <top/>
      <bottom style="thin">
        <color indexed="39"/>
      </bottom>
    </border>
    <border>
      <left/>
      <right/>
      <top style="thin">
        <color indexed="39"/>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thin"/>
      <right style="thin"/>
      <top style="thin"/>
      <bottom style="medium"/>
    </border>
    <border>
      <left style="thin"/>
      <right/>
      <top style="thin"/>
      <bottom style="mediu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double"/>
      <right style="thin"/>
      <top style="double"/>
      <bottom style="thin"/>
    </border>
    <border>
      <left style="thin"/>
      <right style="double"/>
      <top style="double"/>
      <bottom style="thin"/>
    </border>
    <border>
      <left style="double"/>
      <right style="thin"/>
      <top style="thin"/>
      <bottom style="thin"/>
    </border>
    <border>
      <left style="double"/>
      <right style="thin"/>
      <top style="thin"/>
      <bottom/>
    </border>
    <border>
      <left style="double"/>
      <right style="thin"/>
      <top style="thin"/>
      <bottom style="double"/>
    </border>
    <border>
      <left style="thin"/>
      <right style="double"/>
      <top style="thin"/>
      <bottom style="double"/>
    </border>
    <border>
      <left style="thin"/>
      <right style="thin"/>
      <top style="thin"/>
      <bottom/>
    </border>
    <border>
      <left/>
      <right style="thin"/>
      <top style="thin"/>
      <bottom/>
    </border>
    <border>
      <left style="thin"/>
      <right/>
      <top style="thin"/>
      <bottom/>
    </border>
    <border>
      <left style="thin"/>
      <right style="double"/>
      <top style="thin"/>
      <bottom style="thin"/>
    </border>
    <border>
      <left style="double"/>
      <right style="thin"/>
      <top/>
      <bottom style="thin"/>
    </border>
    <border>
      <left style="thin"/>
      <right style="thin"/>
      <top/>
      <bottom style="medium"/>
    </border>
    <border>
      <left/>
      <right/>
      <top/>
      <bottom style="medium"/>
    </border>
    <border>
      <left style="thin"/>
      <right/>
      <top style="thin"/>
      <bottom style="thin"/>
    </border>
    <border>
      <left/>
      <right/>
      <top style="thin"/>
      <bottom style="thin"/>
    </border>
    <border>
      <left/>
      <right style="thin"/>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30"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37"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90">
    <xf numFmtId="0" fontId="0" fillId="0" borderId="0" xfId="0" applyFont="1" applyAlignment="1">
      <alignment/>
    </xf>
    <xf numFmtId="0" fontId="0" fillId="0" borderId="0" xfId="0" applyAlignment="1">
      <alignment wrapText="1"/>
    </xf>
    <xf numFmtId="9" fontId="0" fillId="0" borderId="0" xfId="70" applyFont="1" applyAlignment="1">
      <alignment/>
    </xf>
    <xf numFmtId="164" fontId="0" fillId="0" borderId="0" xfId="70" applyNumberFormat="1" applyFont="1" applyAlignment="1">
      <alignment/>
    </xf>
    <xf numFmtId="1" fontId="0" fillId="0" borderId="0" xfId="0" applyNumberFormat="1" applyAlignment="1">
      <alignment/>
    </xf>
    <xf numFmtId="2"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0" fontId="0" fillId="0" borderId="10" xfId="0" applyBorder="1" applyAlignment="1">
      <alignment/>
    </xf>
    <xf numFmtId="0" fontId="0" fillId="0" borderId="0" xfId="0" applyAlignment="1">
      <alignment horizontal="center"/>
    </xf>
    <xf numFmtId="0" fontId="0" fillId="33" borderId="0" xfId="0" applyFill="1" applyAlignment="1">
      <alignment/>
    </xf>
    <xf numFmtId="9" fontId="0" fillId="0" borderId="0" xfId="0" applyNumberFormat="1" applyAlignment="1">
      <alignment/>
    </xf>
    <xf numFmtId="0" fontId="78" fillId="0" borderId="0" xfId="0" applyFont="1" applyAlignment="1">
      <alignment/>
    </xf>
    <xf numFmtId="0" fontId="0" fillId="0" borderId="0" xfId="0" applyAlignment="1">
      <alignment horizontal="right"/>
    </xf>
    <xf numFmtId="9" fontId="0" fillId="0" borderId="10" xfId="70" applyFont="1" applyBorder="1" applyAlignment="1">
      <alignment/>
    </xf>
    <xf numFmtId="166" fontId="0" fillId="0" borderId="10" xfId="0" applyNumberFormat="1" applyBorder="1" applyAlignment="1">
      <alignment/>
    </xf>
    <xf numFmtId="9" fontId="0" fillId="33" borderId="0" xfId="70" applyFont="1" applyFill="1" applyAlignment="1">
      <alignment/>
    </xf>
    <xf numFmtId="0" fontId="0" fillId="0" borderId="0" xfId="0" applyAlignment="1" quotePrefix="1">
      <alignment/>
    </xf>
    <xf numFmtId="164" fontId="0" fillId="0" borderId="10" xfId="70" applyNumberFormat="1" applyFont="1" applyBorder="1" applyAlignment="1">
      <alignment/>
    </xf>
    <xf numFmtId="3" fontId="6" fillId="0" borderId="0" xfId="61" applyNumberFormat="1" applyFont="1" applyFill="1" applyBorder="1" applyAlignment="1">
      <alignment horizontal="right" indent="2"/>
    </xf>
    <xf numFmtId="167" fontId="0" fillId="0" borderId="0" xfId="0" applyNumberFormat="1" applyAlignment="1">
      <alignment/>
    </xf>
    <xf numFmtId="0" fontId="5" fillId="0" borderId="0" xfId="61" applyAlignment="1">
      <alignment/>
    </xf>
    <xf numFmtId="0" fontId="5" fillId="0" borderId="0" xfId="61" applyBorder="1" applyAlignment="1">
      <alignment/>
    </xf>
    <xf numFmtId="0" fontId="5" fillId="0" borderId="0" xfId="61" applyFill="1" applyBorder="1" applyAlignment="1">
      <alignment/>
    </xf>
    <xf numFmtId="0" fontId="7" fillId="0" borderId="0" xfId="61" applyFont="1" applyFill="1" applyBorder="1" applyAlignment="1">
      <alignment/>
    </xf>
    <xf numFmtId="0" fontId="9" fillId="0" borderId="0" xfId="61" applyFont="1" applyFill="1" applyBorder="1" applyAlignment="1">
      <alignment/>
    </xf>
    <xf numFmtId="0" fontId="10" fillId="0" borderId="0" xfId="61" applyFont="1" applyFill="1" applyBorder="1" applyAlignment="1">
      <alignment/>
    </xf>
    <xf numFmtId="0" fontId="5" fillId="0" borderId="0" xfId="61" applyFont="1" applyFill="1" applyBorder="1" applyAlignment="1">
      <alignment/>
    </xf>
    <xf numFmtId="0" fontId="11" fillId="0" borderId="0" xfId="61" applyFont="1" applyFill="1" applyBorder="1" applyAlignment="1">
      <alignment horizontal="right"/>
    </xf>
    <xf numFmtId="0" fontId="5" fillId="0" borderId="11" xfId="61" applyBorder="1" applyAlignment="1">
      <alignment/>
    </xf>
    <xf numFmtId="0" fontId="6" fillId="0" borderId="12" xfId="61" applyFont="1" applyFill="1" applyBorder="1" applyAlignment="1">
      <alignment wrapText="1"/>
    </xf>
    <xf numFmtId="168" fontId="6" fillId="0" borderId="12" xfId="61" applyNumberFormat="1" applyFont="1" applyFill="1" applyBorder="1" applyAlignment="1">
      <alignment horizontal="right" wrapText="1"/>
    </xf>
    <xf numFmtId="0" fontId="5" fillId="0" borderId="12" xfId="61" applyFont="1" applyBorder="1" applyAlignment="1">
      <alignment/>
    </xf>
    <xf numFmtId="0" fontId="5" fillId="0" borderId="13" xfId="61" applyBorder="1" applyAlignment="1">
      <alignment/>
    </xf>
    <xf numFmtId="0" fontId="5" fillId="0" borderId="14" xfId="61" applyBorder="1" applyAlignment="1">
      <alignment/>
    </xf>
    <xf numFmtId="0" fontId="12" fillId="0" borderId="0" xfId="61" applyFont="1" applyFill="1" applyBorder="1" applyAlignment="1">
      <alignment wrapText="1"/>
    </xf>
    <xf numFmtId="169" fontId="78" fillId="0" borderId="0" xfId="0" applyNumberFormat="1" applyFont="1" applyAlignment="1">
      <alignment horizontal="center"/>
    </xf>
    <xf numFmtId="0" fontId="6" fillId="0" borderId="0" xfId="61" applyFont="1" applyBorder="1" applyAlignment="1">
      <alignment/>
    </xf>
    <xf numFmtId="0" fontId="5" fillId="0" borderId="15" xfId="61" applyBorder="1" applyAlignment="1">
      <alignment/>
    </xf>
    <xf numFmtId="164" fontId="12" fillId="0" borderId="0" xfId="71" applyNumberFormat="1" applyFont="1" applyFill="1" applyBorder="1" applyAlignment="1">
      <alignment horizontal="right" wrapText="1" indent="2"/>
    </xf>
    <xf numFmtId="0" fontId="12" fillId="0" borderId="0" xfId="61" applyFont="1" applyFill="1" applyBorder="1" applyAlignment="1">
      <alignment horizontal="left" wrapText="1"/>
    </xf>
    <xf numFmtId="0" fontId="12" fillId="0" borderId="0" xfId="61" applyFont="1" applyFill="1" applyBorder="1" applyAlignment="1">
      <alignment/>
    </xf>
    <xf numFmtId="0" fontId="6" fillId="0" borderId="0" xfId="61" applyFont="1" applyFill="1" applyBorder="1" applyAlignment="1">
      <alignment/>
    </xf>
    <xf numFmtId="0" fontId="12" fillId="0" borderId="16" xfId="61" applyFont="1" applyFill="1" applyBorder="1" applyAlignment="1">
      <alignment/>
    </xf>
    <xf numFmtId="0" fontId="12" fillId="0" borderId="16" xfId="61" applyFont="1" applyFill="1" applyBorder="1" applyAlignment="1">
      <alignment horizontal="center"/>
    </xf>
    <xf numFmtId="0" fontId="12" fillId="0" borderId="16" xfId="61" applyFont="1" applyBorder="1" applyAlignment="1">
      <alignment horizontal="right"/>
    </xf>
    <xf numFmtId="0" fontId="12" fillId="0" borderId="17" xfId="61" applyFont="1" applyFill="1" applyBorder="1" applyAlignment="1">
      <alignment/>
    </xf>
    <xf numFmtId="0" fontId="12" fillId="0" borderId="17" xfId="61" applyFont="1" applyFill="1" applyBorder="1" applyAlignment="1">
      <alignment horizontal="center"/>
    </xf>
    <xf numFmtId="0" fontId="12" fillId="0" borderId="17" xfId="61" applyFont="1" applyBorder="1" applyAlignment="1">
      <alignment horizontal="right"/>
    </xf>
    <xf numFmtId="3" fontId="6" fillId="0" borderId="0" xfId="61" applyNumberFormat="1" applyFont="1" applyFill="1" applyBorder="1" applyAlignment="1">
      <alignment horizontal="right" wrapText="1" indent="2"/>
    </xf>
    <xf numFmtId="0" fontId="6" fillId="0" borderId="0" xfId="61" applyFont="1" applyBorder="1" applyAlignment="1">
      <alignment horizontal="right" indent="2"/>
    </xf>
    <xf numFmtId="0" fontId="12" fillId="0" borderId="0" xfId="61" applyFont="1" applyFill="1" applyBorder="1" applyAlignment="1">
      <alignment horizontal="right" wrapText="1" indent="1"/>
    </xf>
    <xf numFmtId="0" fontId="6" fillId="0" borderId="0" xfId="61" applyFont="1" applyFill="1" applyBorder="1" applyAlignment="1">
      <alignment wrapText="1"/>
    </xf>
    <xf numFmtId="170" fontId="6" fillId="0" borderId="0" xfId="44" applyNumberFormat="1" applyFont="1" applyFill="1" applyBorder="1" applyAlignment="1">
      <alignment horizontal="right" wrapText="1" indent="1"/>
    </xf>
    <xf numFmtId="0" fontId="6" fillId="0" borderId="0" xfId="61" applyFont="1" applyFill="1" applyBorder="1" applyAlignment="1">
      <alignment horizontal="right" indent="1"/>
    </xf>
    <xf numFmtId="9" fontId="6" fillId="0" borderId="0" xfId="61" applyNumberFormat="1" applyFont="1" applyFill="1" applyBorder="1" applyAlignment="1">
      <alignment horizontal="right" wrapText="1" indent="1"/>
    </xf>
    <xf numFmtId="9" fontId="5" fillId="0" borderId="15" xfId="61" applyNumberFormat="1" applyBorder="1" applyAlignment="1">
      <alignment/>
    </xf>
    <xf numFmtId="0" fontId="6" fillId="0" borderId="16" xfId="61" applyFont="1" applyFill="1" applyBorder="1" applyAlignment="1">
      <alignment wrapText="1"/>
    </xf>
    <xf numFmtId="0" fontId="6" fillId="0" borderId="16" xfId="61" applyFont="1" applyBorder="1" applyAlignment="1">
      <alignment horizontal="right" indent="2"/>
    </xf>
    <xf numFmtId="9" fontId="6" fillId="0" borderId="16" xfId="61" applyNumberFormat="1" applyFont="1" applyFill="1" applyBorder="1" applyAlignment="1">
      <alignment horizontal="right" wrapText="1" indent="1"/>
    </xf>
    <xf numFmtId="0" fontId="16" fillId="0" borderId="14" xfId="61" applyFont="1" applyBorder="1" applyAlignment="1">
      <alignment/>
    </xf>
    <xf numFmtId="0" fontId="6" fillId="0" borderId="17" xfId="61" applyFont="1" applyBorder="1" applyAlignment="1">
      <alignment/>
    </xf>
    <xf numFmtId="0" fontId="17" fillId="0" borderId="17" xfId="61" applyFont="1" applyBorder="1" applyAlignment="1">
      <alignment horizontal="right" indent="2"/>
    </xf>
    <xf numFmtId="0" fontId="17" fillId="0" borderId="17" xfId="61" applyFont="1" applyFill="1" applyBorder="1" applyAlignment="1">
      <alignment horizontal="right" indent="2"/>
    </xf>
    <xf numFmtId="0" fontId="17" fillId="0" borderId="17" xfId="61" applyFont="1" applyFill="1" applyBorder="1" applyAlignment="1">
      <alignment horizontal="right" indent="1"/>
    </xf>
    <xf numFmtId="9" fontId="17" fillId="0" borderId="17" xfId="71" applyFont="1" applyFill="1" applyBorder="1" applyAlignment="1">
      <alignment horizontal="right" indent="1"/>
    </xf>
    <xf numFmtId="168" fontId="6" fillId="0" borderId="0" xfId="61" applyNumberFormat="1" applyFont="1" applyFill="1" applyBorder="1" applyAlignment="1">
      <alignment horizontal="right" vertical="center" indent="3"/>
    </xf>
    <xf numFmtId="0" fontId="6" fillId="0" borderId="0" xfId="61" applyFont="1" applyBorder="1" applyAlignment="1">
      <alignment horizontal="left" vertical="center" indent="2"/>
    </xf>
    <xf numFmtId="168" fontId="6" fillId="0" borderId="0" xfId="61" applyNumberFormat="1" applyFont="1" applyFill="1" applyBorder="1" applyAlignment="1">
      <alignment horizontal="right" vertical="center" indent="1"/>
    </xf>
    <xf numFmtId="171" fontId="5" fillId="0" borderId="15" xfId="61" applyNumberFormat="1" applyBorder="1" applyAlignment="1">
      <alignment/>
    </xf>
    <xf numFmtId="171" fontId="5" fillId="0" borderId="0" xfId="61" applyNumberFormat="1" applyAlignment="1">
      <alignment/>
    </xf>
    <xf numFmtId="0" fontId="6" fillId="0" borderId="16" xfId="61" applyFont="1" applyBorder="1" applyAlignment="1">
      <alignment/>
    </xf>
    <xf numFmtId="9" fontId="6" fillId="0" borderId="16" xfId="71" applyNumberFormat="1" applyFont="1" applyBorder="1" applyAlignment="1">
      <alignment horizontal="center"/>
    </xf>
    <xf numFmtId="0" fontId="17" fillId="0" borderId="16" xfId="61" applyFont="1" applyFill="1" applyBorder="1" applyAlignment="1">
      <alignment horizontal="right" indent="2"/>
    </xf>
    <xf numFmtId="44" fontId="5" fillId="0" borderId="0" xfId="48" applyAlignment="1">
      <alignment/>
    </xf>
    <xf numFmtId="0" fontId="6" fillId="0" borderId="17" xfId="61" applyFont="1" applyFill="1" applyBorder="1" applyAlignment="1">
      <alignment wrapText="1"/>
    </xf>
    <xf numFmtId="9" fontId="17" fillId="0" borderId="17" xfId="61" applyNumberFormat="1" applyFont="1" applyFill="1" applyBorder="1" applyAlignment="1">
      <alignment horizontal="right" indent="1"/>
    </xf>
    <xf numFmtId="0" fontId="17" fillId="0" borderId="16" xfId="61" applyFont="1" applyBorder="1" applyAlignment="1">
      <alignment horizontal="right" indent="2"/>
    </xf>
    <xf numFmtId="0" fontId="17" fillId="0" borderId="16" xfId="61" applyFont="1" applyFill="1" applyBorder="1" applyAlignment="1">
      <alignment horizontal="right" indent="1"/>
    </xf>
    <xf numFmtId="0" fontId="17" fillId="0" borderId="0" xfId="61" applyFont="1" applyBorder="1" applyAlignment="1">
      <alignment horizontal="right" indent="2"/>
    </xf>
    <xf numFmtId="0" fontId="17" fillId="0" borderId="0" xfId="61" applyFont="1" applyFill="1" applyBorder="1" applyAlignment="1">
      <alignment horizontal="right" indent="1"/>
    </xf>
    <xf numFmtId="7" fontId="6" fillId="0" borderId="16" xfId="48" applyNumberFormat="1" applyFont="1" applyBorder="1" applyAlignment="1">
      <alignment horizontal="center"/>
    </xf>
    <xf numFmtId="44" fontId="6" fillId="0" borderId="16" xfId="48" applyFont="1" applyBorder="1" applyAlignment="1">
      <alignment horizontal="right" indent="2"/>
    </xf>
    <xf numFmtId="7" fontId="6" fillId="0" borderId="16" xfId="48" applyNumberFormat="1" applyFont="1" applyFill="1" applyBorder="1" applyAlignment="1">
      <alignment horizontal="right" wrapText="1" indent="1"/>
    </xf>
    <xf numFmtId="0" fontId="18" fillId="0" borderId="0" xfId="61" applyFont="1" applyFill="1" applyBorder="1" applyAlignment="1">
      <alignment/>
    </xf>
    <xf numFmtId="0" fontId="18" fillId="0" borderId="0" xfId="61" applyFont="1" applyFill="1" applyBorder="1" applyAlignment="1">
      <alignment wrapText="1"/>
    </xf>
    <xf numFmtId="171" fontId="6" fillId="0" borderId="0" xfId="61" applyNumberFormat="1" applyFont="1" applyFill="1" applyBorder="1" applyAlignment="1">
      <alignment/>
    </xf>
    <xf numFmtId="9" fontId="6" fillId="34" borderId="0" xfId="71" applyFont="1" applyFill="1" applyBorder="1" applyAlignment="1">
      <alignment horizontal="center"/>
    </xf>
    <xf numFmtId="44" fontId="6" fillId="0" borderId="0" xfId="48" applyFont="1" applyBorder="1" applyAlignment="1">
      <alignment horizontal="right" indent="2"/>
    </xf>
    <xf numFmtId="7" fontId="6" fillId="0" borderId="0" xfId="48" applyNumberFormat="1" applyFont="1" applyFill="1" applyBorder="1" applyAlignment="1">
      <alignment horizontal="right" wrapText="1" indent="1"/>
    </xf>
    <xf numFmtId="7" fontId="6" fillId="0" borderId="0" xfId="48" applyNumberFormat="1" applyFont="1" applyBorder="1" applyAlignment="1">
      <alignment horizontal="center"/>
    </xf>
    <xf numFmtId="168" fontId="6" fillId="0" borderId="0" xfId="61" applyNumberFormat="1" applyFont="1" applyFill="1" applyBorder="1" applyAlignment="1">
      <alignment horizontal="right" wrapText="1" indent="2"/>
    </xf>
    <xf numFmtId="170" fontId="6" fillId="0" borderId="0" xfId="44" applyNumberFormat="1" applyFont="1" applyFill="1" applyBorder="1" applyAlignment="1">
      <alignment horizontal="right" wrapText="1" indent="2"/>
    </xf>
    <xf numFmtId="168" fontId="6" fillId="0" borderId="0" xfId="61" applyNumberFormat="1" applyFont="1" applyFill="1" applyBorder="1" applyAlignment="1">
      <alignment horizontal="right" wrapText="1"/>
    </xf>
    <xf numFmtId="0" fontId="15" fillId="0" borderId="0" xfId="61" applyFont="1" applyFill="1" applyBorder="1" applyAlignment="1">
      <alignment/>
    </xf>
    <xf numFmtId="0" fontId="6" fillId="0" borderId="0" xfId="61" applyFont="1" applyBorder="1" applyAlignment="1">
      <alignment/>
    </xf>
    <xf numFmtId="9" fontId="6" fillId="0" borderId="0" xfId="61" applyNumberFormat="1" applyFont="1" applyFill="1" applyBorder="1" applyAlignment="1">
      <alignment wrapText="1"/>
    </xf>
    <xf numFmtId="0" fontId="19" fillId="0" borderId="0" xfId="61" applyFont="1" applyBorder="1" applyAlignment="1">
      <alignment horizontal="left"/>
    </xf>
    <xf numFmtId="0" fontId="19" fillId="0" borderId="0" xfId="61" applyFont="1" applyBorder="1" applyAlignment="1">
      <alignment/>
    </xf>
    <xf numFmtId="0" fontId="5" fillId="0" borderId="18" xfId="61" applyBorder="1" applyAlignment="1">
      <alignment/>
    </xf>
    <xf numFmtId="0" fontId="19" fillId="0" borderId="19" xfId="61" applyFont="1" applyBorder="1" applyAlignment="1">
      <alignment/>
    </xf>
    <xf numFmtId="0" fontId="5" fillId="0" borderId="19" xfId="61" applyBorder="1" applyAlignment="1">
      <alignment/>
    </xf>
    <xf numFmtId="0" fontId="5" fillId="0" borderId="20" xfId="61" applyBorder="1" applyAlignment="1">
      <alignment/>
    </xf>
    <xf numFmtId="164" fontId="0" fillId="0" borderId="0" xfId="0" applyNumberFormat="1" applyAlignment="1">
      <alignment/>
    </xf>
    <xf numFmtId="0" fontId="0" fillId="0" borderId="0" xfId="0" applyBorder="1" applyAlignment="1">
      <alignment/>
    </xf>
    <xf numFmtId="166" fontId="0" fillId="0" borderId="0" xfId="0" applyNumberFormat="1" applyBorder="1" applyAlignment="1">
      <alignment/>
    </xf>
    <xf numFmtId="9" fontId="0" fillId="0" borderId="0" xfId="70" applyFont="1" applyBorder="1" applyAlignment="1">
      <alignment/>
    </xf>
    <xf numFmtId="9" fontId="0" fillId="0" borderId="0" xfId="70" applyFont="1" applyFill="1" applyBorder="1" applyAlignment="1">
      <alignment/>
    </xf>
    <xf numFmtId="0" fontId="0" fillId="0" borderId="10" xfId="0" applyBorder="1" applyAlignment="1">
      <alignment horizontal="center"/>
    </xf>
    <xf numFmtId="166" fontId="0" fillId="0" borderId="10" xfId="0" applyNumberFormat="1" applyFill="1" applyBorder="1" applyAlignment="1">
      <alignment/>
    </xf>
    <xf numFmtId="1" fontId="0" fillId="0" borderId="0" xfId="0" applyNumberFormat="1" applyBorder="1" applyAlignment="1">
      <alignment/>
    </xf>
    <xf numFmtId="3" fontId="6" fillId="0" borderId="10" xfId="61" applyNumberFormat="1" applyFont="1" applyFill="1" applyBorder="1" applyAlignment="1">
      <alignment horizontal="right" indent="2"/>
    </xf>
    <xf numFmtId="1" fontId="0" fillId="0" borderId="10" xfId="0" applyNumberFormat="1" applyFill="1" applyBorder="1" applyAlignment="1">
      <alignment/>
    </xf>
    <xf numFmtId="0" fontId="0" fillId="0" borderId="10" xfId="0" applyFill="1" applyBorder="1" applyAlignment="1">
      <alignment horizontal="center"/>
    </xf>
    <xf numFmtId="1" fontId="0" fillId="0" borderId="10" xfId="0" applyNumberFormat="1" applyBorder="1" applyAlignment="1">
      <alignment/>
    </xf>
    <xf numFmtId="9" fontId="0" fillId="0" borderId="0" xfId="70" applyNumberFormat="1" applyFont="1" applyBorder="1" applyAlignment="1">
      <alignment/>
    </xf>
    <xf numFmtId="9" fontId="0" fillId="35" borderId="0" xfId="70" applyFont="1" applyFill="1" applyAlignment="1">
      <alignment/>
    </xf>
    <xf numFmtId="9" fontId="0" fillId="35" borderId="10" xfId="70" applyFont="1" applyFill="1" applyBorder="1" applyAlignment="1">
      <alignment/>
    </xf>
    <xf numFmtId="167" fontId="0" fillId="0" borderId="0" xfId="0" applyNumberFormat="1" applyBorder="1" applyAlignment="1">
      <alignment/>
    </xf>
    <xf numFmtId="167" fontId="0" fillId="35" borderId="0" xfId="0" applyNumberFormat="1" applyFill="1" applyAlignment="1">
      <alignment/>
    </xf>
    <xf numFmtId="167" fontId="0" fillId="35" borderId="10" xfId="0" applyNumberFormat="1" applyFill="1" applyBorder="1" applyAlignment="1">
      <alignment/>
    </xf>
    <xf numFmtId="3" fontId="0" fillId="0" borderId="0" xfId="0" applyNumberFormat="1" applyAlignment="1">
      <alignment/>
    </xf>
    <xf numFmtId="3" fontId="6" fillId="33" borderId="0" xfId="61" applyNumberFormat="1" applyFont="1" applyFill="1" applyBorder="1" applyAlignment="1">
      <alignment horizontal="right" indent="2"/>
    </xf>
    <xf numFmtId="166" fontId="0" fillId="33" borderId="0" xfId="0" applyNumberFormat="1" applyFill="1" applyBorder="1" applyAlignment="1">
      <alignment/>
    </xf>
    <xf numFmtId="166" fontId="0" fillId="33" borderId="10" xfId="0" applyNumberFormat="1" applyFill="1" applyBorder="1" applyAlignment="1">
      <alignment/>
    </xf>
    <xf numFmtId="3" fontId="0" fillId="0" borderId="0" xfId="0" applyNumberFormat="1" applyBorder="1" applyAlignment="1">
      <alignment/>
    </xf>
    <xf numFmtId="172" fontId="0" fillId="0" borderId="0" xfId="0" applyNumberFormat="1" applyAlignment="1">
      <alignment/>
    </xf>
    <xf numFmtId="0" fontId="5" fillId="0" borderId="0" xfId="63">
      <alignment/>
      <protection/>
    </xf>
    <xf numFmtId="0" fontId="80" fillId="0" borderId="0" xfId="63" applyFont="1" applyAlignment="1">
      <alignment horizontal="left"/>
      <protection/>
    </xf>
    <xf numFmtId="0" fontId="23" fillId="0" borderId="0" xfId="63" applyFont="1" applyAlignment="1">
      <alignment/>
      <protection/>
    </xf>
    <xf numFmtId="0" fontId="5" fillId="0" borderId="0" xfId="64">
      <alignment/>
      <protection/>
    </xf>
    <xf numFmtId="0" fontId="8" fillId="0" borderId="0" xfId="63" applyFont="1" applyBorder="1" applyAlignment="1">
      <alignment/>
      <protection/>
    </xf>
    <xf numFmtId="0" fontId="23" fillId="0" borderId="0" xfId="64" applyFont="1" applyAlignment="1">
      <alignment horizontal="right" vertical="top"/>
      <protection/>
    </xf>
    <xf numFmtId="0" fontId="5" fillId="0" borderId="0" xfId="66">
      <alignment/>
      <protection/>
    </xf>
    <xf numFmtId="0" fontId="24" fillId="0" borderId="0" xfId="63" applyFont="1" applyBorder="1" applyAlignment="1">
      <alignment horizontal="left"/>
      <protection/>
    </xf>
    <xf numFmtId="0" fontId="25" fillId="0" borderId="0" xfId="64" applyFont="1">
      <alignment/>
      <protection/>
    </xf>
    <xf numFmtId="14" fontId="23" fillId="0" borderId="0" xfId="64" applyNumberFormat="1" applyFont="1" applyAlignment="1">
      <alignment horizontal="right" vertical="top"/>
      <protection/>
    </xf>
    <xf numFmtId="0" fontId="7" fillId="0" borderId="0" xfId="66" applyFont="1">
      <alignment/>
      <protection/>
    </xf>
    <xf numFmtId="0" fontId="22" fillId="0" borderId="21" xfId="66" applyFont="1" applyBorder="1" applyAlignment="1">
      <alignment horizontal="center" vertical="center" wrapText="1"/>
      <protection/>
    </xf>
    <xf numFmtId="0" fontId="5" fillId="0" borderId="21" xfId="66" applyFont="1" applyBorder="1" applyAlignment="1">
      <alignment horizontal="center" vertical="center" wrapText="1"/>
      <protection/>
    </xf>
    <xf numFmtId="0" fontId="5" fillId="0" borderId="22" xfId="66" applyFont="1" applyBorder="1" applyAlignment="1">
      <alignment horizontal="center" vertical="center" wrapText="1"/>
      <protection/>
    </xf>
    <xf numFmtId="0" fontId="5" fillId="0" borderId="0" xfId="66" applyFont="1">
      <alignment/>
      <protection/>
    </xf>
    <xf numFmtId="0" fontId="5" fillId="0" borderId="23" xfId="66" applyFill="1" applyBorder="1" applyAlignment="1">
      <alignment vertical="center"/>
      <protection/>
    </xf>
    <xf numFmtId="0" fontId="5" fillId="0" borderId="0" xfId="66" applyBorder="1" applyAlignment="1">
      <alignment vertical="center" wrapText="1"/>
      <protection/>
    </xf>
    <xf numFmtId="9" fontId="22" fillId="36" borderId="24" xfId="66" applyNumberFormat="1" applyFont="1" applyFill="1" applyBorder="1" applyAlignment="1">
      <alignment horizontal="center" vertical="center"/>
      <protection/>
    </xf>
    <xf numFmtId="9" fontId="5" fillId="0" borderId="23" xfId="66" applyNumberFormat="1" applyBorder="1" applyAlignment="1">
      <alignment horizontal="center" vertical="center"/>
      <protection/>
    </xf>
    <xf numFmtId="9" fontId="0" fillId="0" borderId="25" xfId="72" applyFont="1" applyBorder="1" applyAlignment="1">
      <alignment horizontal="center" vertical="center"/>
    </xf>
    <xf numFmtId="9" fontId="5" fillId="37" borderId="23" xfId="66" applyNumberFormat="1" applyFont="1" applyFill="1" applyBorder="1" applyAlignment="1">
      <alignment horizontal="center" vertical="center"/>
      <protection/>
    </xf>
    <xf numFmtId="0" fontId="28" fillId="0" borderId="26" xfId="66" applyFont="1" applyFill="1" applyBorder="1" applyAlignment="1">
      <alignment horizontal="center" vertical="center" wrapText="1"/>
      <protection/>
    </xf>
    <xf numFmtId="0" fontId="5" fillId="0" borderId="26" xfId="66" applyFill="1" applyBorder="1" applyAlignment="1">
      <alignment vertical="center"/>
      <protection/>
    </xf>
    <xf numFmtId="0" fontId="5" fillId="0" borderId="10" xfId="66" applyBorder="1" applyAlignment="1">
      <alignment vertical="center" wrapText="1"/>
      <protection/>
    </xf>
    <xf numFmtId="9" fontId="22" fillId="36" borderId="27" xfId="66" applyNumberFormat="1" applyFont="1" applyFill="1" applyBorder="1" applyAlignment="1">
      <alignment horizontal="center" vertical="center"/>
      <protection/>
    </xf>
    <xf numFmtId="9" fontId="5" fillId="0" borderId="26" xfId="66" applyNumberFormat="1" applyBorder="1" applyAlignment="1">
      <alignment horizontal="center" vertical="center"/>
      <protection/>
    </xf>
    <xf numFmtId="9" fontId="0" fillId="0" borderId="28" xfId="72" applyFont="1" applyBorder="1" applyAlignment="1">
      <alignment horizontal="center" vertical="center"/>
    </xf>
    <xf numFmtId="9" fontId="5" fillId="37" borderId="26" xfId="66" applyNumberFormat="1" applyFont="1" applyFill="1" applyBorder="1" applyAlignment="1">
      <alignment horizontal="center" vertical="center"/>
      <protection/>
    </xf>
    <xf numFmtId="0" fontId="26" fillId="0" borderId="29" xfId="66" applyFont="1" applyBorder="1" applyAlignment="1">
      <alignment vertical="center"/>
      <protection/>
    </xf>
    <xf numFmtId="0" fontId="31" fillId="0" borderId="23" xfId="57" applyFont="1" applyBorder="1" applyAlignment="1" applyProtection="1">
      <alignment vertical="center"/>
      <protection/>
    </xf>
    <xf numFmtId="0" fontId="31" fillId="0" borderId="26" xfId="57" applyFont="1" applyBorder="1" applyAlignment="1" applyProtection="1">
      <alignment vertical="center"/>
      <protection/>
    </xf>
    <xf numFmtId="0" fontId="26" fillId="0" borderId="0" xfId="66" applyFont="1" applyFill="1" applyAlignment="1">
      <alignment horizontal="left" vertical="center" wrapText="1"/>
      <protection/>
    </xf>
    <xf numFmtId="0" fontId="26" fillId="0" borderId="0" xfId="66" applyFont="1" applyAlignment="1">
      <alignment horizontal="right"/>
      <protection/>
    </xf>
    <xf numFmtId="9" fontId="81" fillId="38" borderId="29" xfId="72" applyFont="1" applyFill="1" applyBorder="1" applyAlignment="1">
      <alignment horizontal="center" vertical="center"/>
    </xf>
    <xf numFmtId="164" fontId="32" fillId="0" borderId="0" xfId="72" applyNumberFormat="1" applyFont="1" applyFill="1" applyBorder="1" applyAlignment="1">
      <alignment horizontal="center"/>
    </xf>
    <xf numFmtId="6" fontId="26" fillId="0" borderId="0" xfId="66" applyNumberFormat="1" applyFont="1" applyFill="1" applyBorder="1" applyAlignment="1">
      <alignment horizontal="center" vertical="center"/>
      <protection/>
    </xf>
    <xf numFmtId="0" fontId="26" fillId="0" borderId="0" xfId="62" applyFont="1" applyFill="1" applyAlignment="1">
      <alignment horizontal="right"/>
      <protection/>
    </xf>
    <xf numFmtId="173" fontId="26" fillId="0" borderId="29" xfId="49" applyNumberFormat="1" applyFont="1" applyFill="1" applyBorder="1" applyAlignment="1">
      <alignment/>
    </xf>
    <xf numFmtId="173" fontId="26" fillId="0" borderId="0" xfId="49" applyNumberFormat="1" applyFont="1" applyFill="1" applyAlignment="1">
      <alignment/>
    </xf>
    <xf numFmtId="0" fontId="5" fillId="0" borderId="0" xfId="66" applyFill="1">
      <alignment/>
      <protection/>
    </xf>
    <xf numFmtId="0" fontId="15" fillId="0" borderId="0" xfId="66" applyFont="1">
      <alignment/>
      <protection/>
    </xf>
    <xf numFmtId="0" fontId="26" fillId="0" borderId="30" xfId="66" applyFont="1" applyFill="1" applyBorder="1" applyAlignment="1">
      <alignment vertical="center" wrapText="1"/>
      <protection/>
    </xf>
    <xf numFmtId="0" fontId="5" fillId="39" borderId="0" xfId="66" applyFill="1" applyBorder="1" applyAlignment="1">
      <alignment vertical="center"/>
      <protection/>
    </xf>
    <xf numFmtId="0" fontId="5" fillId="39" borderId="0" xfId="66" applyFont="1" applyFill="1" applyBorder="1" applyAlignment="1">
      <alignment vertical="center"/>
      <protection/>
    </xf>
    <xf numFmtId="0" fontId="0" fillId="0" borderId="0" xfId="0" applyFill="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0" xfId="0" applyFill="1" applyBorder="1" applyAlignment="1">
      <alignment/>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72" fillId="0" borderId="0" xfId="56" applyAlignment="1">
      <alignment/>
    </xf>
    <xf numFmtId="0" fontId="63" fillId="0" borderId="0" xfId="0" applyFont="1" applyAlignment="1">
      <alignment/>
    </xf>
    <xf numFmtId="164" fontId="82" fillId="0" borderId="0" xfId="72" applyNumberFormat="1" applyFont="1" applyFill="1" applyBorder="1" applyAlignment="1">
      <alignment horizontal="center"/>
    </xf>
    <xf numFmtId="0" fontId="26" fillId="0" borderId="0" xfId="66" applyFont="1" applyBorder="1" applyAlignment="1">
      <alignment horizontal="center"/>
      <protection/>
    </xf>
    <xf numFmtId="9" fontId="83" fillId="0" borderId="0" xfId="66" applyNumberFormat="1" applyFont="1" applyBorder="1" applyAlignment="1">
      <alignment horizontal="center"/>
      <protection/>
    </xf>
    <xf numFmtId="9" fontId="26" fillId="0" borderId="0" xfId="66" applyNumberFormat="1" applyFont="1" applyBorder="1" applyAlignment="1">
      <alignment horizontal="center"/>
      <protection/>
    </xf>
    <xf numFmtId="14" fontId="83" fillId="0" borderId="0" xfId="63" applyNumberFormat="1" applyFont="1" applyFill="1" applyBorder="1" applyAlignment="1">
      <alignment horizontal="center" vertical="center" wrapText="1"/>
      <protection/>
    </xf>
    <xf numFmtId="14" fontId="26" fillId="0" borderId="0" xfId="63" applyNumberFormat="1" applyFont="1" applyFill="1" applyBorder="1" applyAlignment="1">
      <alignment horizontal="center" vertical="center" wrapText="1"/>
      <protection/>
    </xf>
    <xf numFmtId="0" fontId="78" fillId="0" borderId="0" xfId="0" applyFont="1" applyAlignment="1">
      <alignment vertical="top" wrapText="1"/>
    </xf>
    <xf numFmtId="9" fontId="5" fillId="0" borderId="29" xfId="66" applyNumberFormat="1" applyFont="1" applyBorder="1" applyAlignment="1">
      <alignment horizontal="center" vertical="center"/>
      <protection/>
    </xf>
    <xf numFmtId="0" fontId="5" fillId="0" borderId="29" xfId="66" applyFont="1" applyBorder="1" applyAlignment="1">
      <alignment vertical="center"/>
      <protection/>
    </xf>
    <xf numFmtId="0" fontId="26" fillId="0" borderId="29" xfId="66" applyFont="1" applyBorder="1" applyAlignment="1">
      <alignment horizontal="center" vertical="center"/>
      <protection/>
    </xf>
    <xf numFmtId="0" fontId="26" fillId="0" borderId="0" xfId="66" applyFont="1" applyFill="1" applyAlignment="1">
      <alignment horizontal="left" vertical="center" wrapText="1"/>
      <protection/>
    </xf>
    <xf numFmtId="0" fontId="15" fillId="0" borderId="0" xfId="66" applyFont="1" applyAlignment="1">
      <alignment horizontal="left" vertical="top" wrapText="1"/>
      <protection/>
    </xf>
    <xf numFmtId="0" fontId="26" fillId="0" borderId="37" xfId="63" applyFont="1" applyBorder="1" applyAlignment="1">
      <alignment horizontal="left" vertical="center" wrapText="1"/>
      <protection/>
    </xf>
    <xf numFmtId="0" fontId="26" fillId="0" borderId="38" xfId="0" applyFont="1" applyBorder="1" applyAlignment="1">
      <alignment/>
    </xf>
    <xf numFmtId="0" fontId="26" fillId="0" borderId="0" xfId="63" applyFont="1" applyAlignment="1">
      <alignment vertical="center"/>
      <protection/>
    </xf>
    <xf numFmtId="0" fontId="5" fillId="0" borderId="0" xfId="63" applyAlignment="1">
      <alignment vertical="center"/>
      <protection/>
    </xf>
    <xf numFmtId="0" fontId="26" fillId="0" borderId="39" xfId="63" applyFont="1" applyBorder="1" applyAlignment="1">
      <alignment horizontal="left" vertical="center" wrapText="1"/>
      <protection/>
    </xf>
    <xf numFmtId="0" fontId="26" fillId="0" borderId="40" xfId="0" applyFont="1" applyBorder="1" applyAlignment="1">
      <alignment vertical="center"/>
    </xf>
    <xf numFmtId="0" fontId="26" fillId="0" borderId="41" xfId="0" applyFont="1" applyBorder="1" applyAlignment="1">
      <alignment/>
    </xf>
    <xf numFmtId="0" fontId="5" fillId="0" borderId="0" xfId="63" applyFont="1" applyFill="1" applyBorder="1" applyAlignment="1">
      <alignment horizontal="left" vertical="center" wrapText="1"/>
      <protection/>
    </xf>
    <xf numFmtId="0" fontId="26" fillId="0" borderId="0" xfId="0" applyFont="1" applyBorder="1" applyAlignment="1">
      <alignment horizontal="left" wrapText="1"/>
    </xf>
    <xf numFmtId="0" fontId="5" fillId="0" borderId="0" xfId="65" applyFont="1" applyBorder="1" applyAlignment="1">
      <alignment horizontal="left" vertical="top" wrapText="1"/>
      <protection/>
    </xf>
    <xf numFmtId="0" fontId="30" fillId="0" borderId="0" xfId="56" applyFont="1" applyBorder="1" applyAlignment="1" applyProtection="1">
      <alignment horizontal="left" vertical="top" wrapText="1"/>
      <protection/>
    </xf>
    <xf numFmtId="0" fontId="5" fillId="0" borderId="0" xfId="63" applyFont="1" applyBorder="1" applyAlignment="1">
      <alignment horizontal="left"/>
      <protection/>
    </xf>
    <xf numFmtId="0" fontId="5" fillId="0" borderId="0" xfId="63" applyFont="1">
      <alignment/>
      <protection/>
    </xf>
    <xf numFmtId="0" fontId="30" fillId="0" borderId="0" xfId="56" applyFont="1" applyFill="1" applyBorder="1" applyAlignment="1" applyProtection="1">
      <alignment horizontal="left" vertical="top" wrapText="1"/>
      <protection/>
    </xf>
    <xf numFmtId="0" fontId="5" fillId="0" borderId="0" xfId="63" applyFont="1" applyBorder="1" applyAlignment="1">
      <alignment horizontal="left" wrapText="1"/>
      <protection/>
    </xf>
    <xf numFmtId="0" fontId="5" fillId="0" borderId="0" xfId="63" applyFont="1" applyAlignment="1">
      <alignment wrapText="1"/>
      <protection/>
    </xf>
    <xf numFmtId="0" fontId="5" fillId="0" borderId="0" xfId="63" applyAlignment="1">
      <alignment wrapText="1"/>
      <protection/>
    </xf>
    <xf numFmtId="0" fontId="5" fillId="0" borderId="0" xfId="65" applyFont="1" applyBorder="1" applyAlignment="1">
      <alignment horizontal="left" wrapText="1"/>
      <protection/>
    </xf>
    <xf numFmtId="0" fontId="30" fillId="0" borderId="0" xfId="56" applyFont="1" applyBorder="1" applyAlignment="1" applyProtection="1">
      <alignment horizontal="left" wrapText="1"/>
      <protection/>
    </xf>
    <xf numFmtId="0" fontId="30" fillId="0" borderId="0" xfId="56" applyNumberFormat="1" applyFont="1" applyBorder="1" applyAlignment="1" applyProtection="1">
      <alignment horizontal="left" wrapText="1"/>
      <protection/>
    </xf>
    <xf numFmtId="0" fontId="5" fillId="0" borderId="0" xfId="63" applyNumberFormat="1" applyFont="1" applyBorder="1" applyAlignment="1">
      <alignment horizontal="left" wrapText="1"/>
      <protection/>
    </xf>
    <xf numFmtId="0" fontId="30" fillId="0" borderId="0" xfId="56" applyFont="1" applyAlignment="1" applyProtection="1">
      <alignment horizontal="left"/>
      <protection/>
    </xf>
    <xf numFmtId="0" fontId="30" fillId="0" borderId="0" xfId="56" applyFont="1" applyAlignment="1" applyProtection="1">
      <alignment/>
      <protection/>
    </xf>
    <xf numFmtId="0" fontId="5" fillId="0" borderId="0" xfId="63" applyFont="1" applyFill="1" applyBorder="1" applyAlignment="1">
      <alignment vertical="top" wrapText="1"/>
      <protection/>
    </xf>
    <xf numFmtId="0" fontId="5" fillId="0" borderId="0" xfId="63" applyFont="1" applyBorder="1" applyAlignment="1">
      <alignment wrapText="1"/>
      <protection/>
    </xf>
    <xf numFmtId="0" fontId="5" fillId="0" borderId="0" xfId="63" applyBorder="1" applyAlignment="1">
      <alignment wrapText="1"/>
      <protection/>
    </xf>
    <xf numFmtId="0" fontId="84" fillId="0" borderId="0" xfId="0" applyFont="1" applyBorder="1" applyAlignment="1">
      <alignment/>
    </xf>
    <xf numFmtId="0" fontId="26" fillId="0" borderId="0" xfId="0" applyFont="1" applyBorder="1" applyAlignment="1">
      <alignment/>
    </xf>
    <xf numFmtId="14" fontId="83" fillId="0" borderId="0" xfId="63" applyNumberFormat="1" applyFont="1" applyBorder="1" applyAlignment="1">
      <alignment horizontal="left" vertical="center" wrapText="1"/>
      <protection/>
    </xf>
    <xf numFmtId="14" fontId="5" fillId="0" borderId="0" xfId="63" applyNumberFormat="1" applyFont="1" applyBorder="1" applyAlignment="1">
      <alignment horizontal="left" vertical="center" wrapText="1"/>
      <protection/>
    </xf>
    <xf numFmtId="6" fontId="83" fillId="0" borderId="0" xfId="63" applyNumberFormat="1" applyFont="1" applyFill="1" applyBorder="1" applyAlignment="1">
      <alignment horizontal="left" vertical="center" wrapText="1"/>
      <protection/>
    </xf>
    <xf numFmtId="6" fontId="5" fillId="0" borderId="0" xfId="63" applyNumberFormat="1" applyFont="1" applyFill="1" applyBorder="1" applyAlignment="1">
      <alignment horizontal="left" vertical="center" wrapText="1"/>
      <protection/>
    </xf>
    <xf numFmtId="0" fontId="83" fillId="0" borderId="0" xfId="63" applyFont="1" applyBorder="1" applyAlignment="1">
      <alignment horizontal="justify" vertical="center" wrapText="1"/>
      <protection/>
    </xf>
    <xf numFmtId="0" fontId="85" fillId="0" borderId="0" xfId="63" applyFont="1" applyBorder="1" applyAlignment="1">
      <alignment horizontal="justify" vertical="center" wrapText="1"/>
      <protection/>
    </xf>
    <xf numFmtId="0" fontId="83" fillId="0" borderId="0" xfId="63" applyFont="1" applyBorder="1" applyAlignment="1">
      <alignment vertical="center" wrapText="1"/>
      <protection/>
    </xf>
    <xf numFmtId="0" fontId="85" fillId="0" borderId="0" xfId="63" applyFont="1" applyBorder="1" applyAlignment="1">
      <alignment vertical="center" wrapText="1"/>
      <protection/>
    </xf>
    <xf numFmtId="0" fontId="83" fillId="0" borderId="0" xfId="63" applyFont="1" applyFill="1" applyBorder="1" applyAlignment="1">
      <alignment horizontal="left" vertical="center" wrapText="1"/>
      <protection/>
    </xf>
    <xf numFmtId="0" fontId="8" fillId="0" borderId="0" xfId="63" applyFont="1" applyAlignment="1">
      <alignment vertical="center"/>
      <protection/>
    </xf>
    <xf numFmtId="9" fontId="5" fillId="0" borderId="42" xfId="63" applyNumberFormat="1" applyFont="1" applyBorder="1" applyAlignment="1">
      <alignment horizontal="left" vertical="center" wrapText="1"/>
      <protection/>
    </xf>
    <xf numFmtId="0" fontId="5" fillId="0" borderId="0" xfId="63" applyBorder="1">
      <alignment/>
      <protection/>
    </xf>
    <xf numFmtId="0" fontId="5" fillId="0" borderId="0" xfId="63" applyFont="1" applyBorder="1">
      <alignment/>
      <protection/>
    </xf>
    <xf numFmtId="0" fontId="26" fillId="0" borderId="0" xfId="63" applyFont="1" applyBorder="1" applyAlignment="1">
      <alignment/>
      <protection/>
    </xf>
    <xf numFmtId="0" fontId="25" fillId="0" borderId="0" xfId="63" applyFont="1" applyBorder="1" applyAlignment="1">
      <alignment horizontal="left"/>
      <protection/>
    </xf>
    <xf numFmtId="0" fontId="25" fillId="0" borderId="0" xfId="63" applyFont="1" applyBorder="1">
      <alignment/>
      <protection/>
    </xf>
    <xf numFmtId="0" fontId="5" fillId="0" borderId="0" xfId="63" applyNumberFormat="1" applyFont="1" applyFill="1" applyBorder="1" applyAlignment="1">
      <alignment horizontal="justify" vertical="top" wrapText="1"/>
      <protection/>
    </xf>
    <xf numFmtId="0" fontId="5" fillId="0" borderId="0" xfId="63" applyBorder="1" applyAlignment="1">
      <alignment horizontal="left" vertical="top"/>
      <protection/>
    </xf>
    <xf numFmtId="0" fontId="38" fillId="0" borderId="0" xfId="63" applyNumberFormat="1" applyFont="1" applyFill="1" applyBorder="1" applyAlignment="1">
      <alignment horizontal="justify" vertical="top" wrapText="1"/>
      <protection/>
    </xf>
    <xf numFmtId="0" fontId="5" fillId="0" borderId="0" xfId="63" applyFont="1" applyBorder="1" applyAlignment="1">
      <alignment horizontal="justify" vertical="top" wrapText="1"/>
      <protection/>
    </xf>
    <xf numFmtId="0" fontId="5" fillId="0" borderId="0" xfId="63" applyFont="1" applyBorder="1" applyAlignment="1">
      <alignment horizontal="justify" vertical="center" wrapText="1"/>
      <protection/>
    </xf>
    <xf numFmtId="14" fontId="23" fillId="0" borderId="0" xfId="63" applyNumberFormat="1" applyFont="1" applyBorder="1" applyAlignment="1">
      <alignment horizontal="right" vertical="top"/>
      <protection/>
    </xf>
    <xf numFmtId="0" fontId="72" fillId="0" borderId="0" xfId="56" applyBorder="1" applyAlignment="1" applyProtection="1">
      <alignment horizontal="left" vertical="top" wrapText="1"/>
      <protection/>
    </xf>
    <xf numFmtId="0" fontId="72" fillId="0" borderId="0" xfId="56" applyFill="1" applyBorder="1" applyAlignment="1" applyProtection="1">
      <alignment horizontal="left" vertical="top" wrapText="1"/>
      <protection/>
    </xf>
    <xf numFmtId="0" fontId="5" fillId="0" borderId="0" xfId="65" applyFont="1" applyBorder="1" applyAlignment="1">
      <alignment wrapText="1"/>
      <protection/>
    </xf>
    <xf numFmtId="0" fontId="5" fillId="0" borderId="0" xfId="65" applyFont="1" applyBorder="1" applyAlignment="1">
      <alignment vertical="top" wrapText="1"/>
      <protection/>
    </xf>
    <xf numFmtId="0" fontId="72" fillId="0" borderId="0" xfId="56" applyBorder="1" applyAlignment="1" applyProtection="1">
      <alignment horizontal="left" wrapText="1"/>
      <protection/>
    </xf>
    <xf numFmtId="0" fontId="72" fillId="0" borderId="0" xfId="56" applyNumberFormat="1" applyBorder="1" applyAlignment="1" applyProtection="1">
      <alignment horizontal="left" wrapText="1"/>
      <protection/>
    </xf>
    <xf numFmtId="0" fontId="86" fillId="0" borderId="0" xfId="0" applyFont="1" applyAlignment="1">
      <alignment/>
    </xf>
    <xf numFmtId="0" fontId="72" fillId="0" borderId="0" xfId="56" applyNumberFormat="1" applyBorder="1" applyAlignment="1">
      <alignment horizontal="left" wrapText="1"/>
    </xf>
    <xf numFmtId="0" fontId="72" fillId="0" borderId="0" xfId="56" applyAlignment="1" applyProtection="1">
      <alignment/>
      <protection/>
    </xf>
    <xf numFmtId="0" fontId="72" fillId="0" borderId="0" xfId="56" applyFill="1" applyBorder="1" applyAlignment="1">
      <alignment vertical="top" wrapText="1"/>
    </xf>
    <xf numFmtId="0" fontId="5" fillId="0" borderId="43" xfId="66" applyBorder="1" applyAlignment="1">
      <alignment vertical="center"/>
      <protection/>
    </xf>
    <xf numFmtId="9" fontId="5" fillId="37" borderId="43" xfId="71" applyNumberFormat="1" applyFont="1" applyFill="1" applyBorder="1" applyAlignment="1">
      <alignment horizontal="center" vertical="center"/>
    </xf>
    <xf numFmtId="0" fontId="5" fillId="0" borderId="23" xfId="66" applyBorder="1" applyAlignment="1">
      <alignment vertical="center"/>
      <protection/>
    </xf>
    <xf numFmtId="37" fontId="5" fillId="37" borderId="23" xfId="44" applyNumberFormat="1" applyFont="1" applyFill="1" applyBorder="1" applyAlignment="1">
      <alignment horizontal="center" vertical="center"/>
    </xf>
    <xf numFmtId="0" fontId="5" fillId="0" borderId="23" xfId="66" applyFont="1" applyBorder="1" applyAlignment="1">
      <alignment vertical="center"/>
      <protection/>
    </xf>
    <xf numFmtId="9" fontId="5" fillId="37" borderId="23" xfId="44" applyNumberFormat="1" applyFont="1" applyFill="1" applyBorder="1" applyAlignment="1">
      <alignment horizontal="center" vertical="center"/>
    </xf>
    <xf numFmtId="9" fontId="5" fillId="37" borderId="23" xfId="71" applyFont="1" applyFill="1" applyBorder="1" applyAlignment="1">
      <alignment horizontal="center" vertical="center"/>
    </xf>
    <xf numFmtId="0" fontId="5" fillId="0" borderId="26" xfId="66" applyBorder="1" applyAlignment="1">
      <alignment vertical="center"/>
      <protection/>
    </xf>
    <xf numFmtId="0" fontId="27" fillId="0" borderId="29" xfId="66" applyFont="1" applyBorder="1" applyAlignment="1">
      <alignment horizontal="center" vertical="center" wrapText="1"/>
      <protection/>
    </xf>
    <xf numFmtId="0" fontId="5" fillId="0" borderId="0" xfId="66" applyBorder="1" applyAlignment="1">
      <alignment vertical="center"/>
      <protection/>
    </xf>
    <xf numFmtId="0" fontId="5" fillId="0" borderId="0" xfId="66" applyFont="1" applyBorder="1" applyAlignment="1">
      <alignment vertical="center" wrapText="1"/>
      <protection/>
    </xf>
    <xf numFmtId="2" fontId="5" fillId="40" borderId="0" xfId="44" applyNumberFormat="1" applyFont="1" applyFill="1" applyBorder="1" applyAlignment="1">
      <alignment horizontal="center" vertical="center"/>
    </xf>
    <xf numFmtId="49" fontId="0" fillId="0" borderId="0" xfId="66" applyNumberFormat="1" applyFont="1" applyBorder="1" applyAlignment="1">
      <alignment horizontal="center" vertical="center"/>
      <protection/>
    </xf>
    <xf numFmtId="2" fontId="22" fillId="0" borderId="0" xfId="44" applyNumberFormat="1" applyFont="1" applyFill="1" applyBorder="1" applyAlignment="1">
      <alignment horizontal="center" vertical="center"/>
    </xf>
    <xf numFmtId="39" fontId="5" fillId="0" borderId="0" xfId="44" applyNumberFormat="1" applyFont="1" applyFill="1" applyBorder="1" applyAlignment="1">
      <alignment horizontal="center" vertical="center"/>
    </xf>
    <xf numFmtId="0" fontId="87" fillId="0" borderId="0" xfId="0" applyFont="1" applyAlignment="1">
      <alignment/>
    </xf>
    <xf numFmtId="0" fontId="88" fillId="0" borderId="0" xfId="0" applyFont="1" applyAlignment="1">
      <alignment vertical="top" wrapText="1"/>
    </xf>
    <xf numFmtId="0" fontId="89" fillId="0" borderId="0" xfId="0" applyFont="1" applyAlignment="1">
      <alignment/>
    </xf>
    <xf numFmtId="9" fontId="22" fillId="0" borderId="0" xfId="66" applyNumberFormat="1" applyFont="1" applyFill="1" applyBorder="1" applyAlignment="1">
      <alignment horizontal="center" vertical="center"/>
      <protection/>
    </xf>
    <xf numFmtId="37" fontId="90" fillId="35" borderId="0" xfId="0" applyNumberFormat="1" applyFont="1" applyFill="1" applyAlignment="1">
      <alignment/>
    </xf>
    <xf numFmtId="9" fontId="91" fillId="35" borderId="0" xfId="70" applyFont="1" applyFill="1" applyAlignment="1">
      <alignment/>
    </xf>
    <xf numFmtId="9" fontId="91" fillId="35" borderId="0" xfId="0" applyNumberFormat="1" applyFont="1" applyFill="1" applyAlignment="1">
      <alignment/>
    </xf>
    <xf numFmtId="1" fontId="91" fillId="35" borderId="0" xfId="0" applyNumberFormat="1" applyFont="1" applyFill="1" applyAlignment="1">
      <alignment/>
    </xf>
    <xf numFmtId="9" fontId="22" fillId="0" borderId="0" xfId="66" applyNumberFormat="1" applyFont="1" applyFill="1" applyBorder="1" applyAlignment="1">
      <alignment horizontal="right" vertical="center"/>
      <protection/>
    </xf>
    <xf numFmtId="9" fontId="5" fillId="37" borderId="26" xfId="70" applyFont="1" applyFill="1" applyBorder="1" applyAlignment="1">
      <alignment horizontal="center" vertical="center"/>
    </xf>
    <xf numFmtId="9" fontId="5" fillId="41" borderId="43" xfId="71" applyNumberFormat="1" applyFont="1" applyFill="1" applyBorder="1" applyAlignment="1">
      <alignment horizontal="center" vertical="center"/>
    </xf>
    <xf numFmtId="9" fontId="0" fillId="41" borderId="44" xfId="71" applyFont="1" applyFill="1" applyBorder="1" applyAlignment="1">
      <alignment horizontal="center" vertical="center"/>
    </xf>
    <xf numFmtId="1" fontId="5" fillId="41" borderId="23" xfId="71" applyNumberFormat="1" applyFont="1" applyFill="1" applyBorder="1" applyAlignment="1">
      <alignment horizontal="center" vertical="center"/>
    </xf>
    <xf numFmtId="0" fontId="0" fillId="41" borderId="25" xfId="67" applyFont="1" applyFill="1" applyBorder="1" applyAlignment="1">
      <alignment horizontal="center" vertical="center"/>
      <protection/>
    </xf>
    <xf numFmtId="9" fontId="5" fillId="41" borderId="23" xfId="71" applyFont="1" applyFill="1" applyBorder="1" applyAlignment="1">
      <alignment horizontal="center" vertical="center"/>
    </xf>
    <xf numFmtId="9" fontId="0" fillId="41" borderId="25" xfId="67" applyNumberFormat="1" applyFont="1" applyFill="1" applyBorder="1" applyAlignment="1">
      <alignment horizontal="center" vertical="center"/>
      <protection/>
    </xf>
    <xf numFmtId="1" fontId="5" fillId="41" borderId="23" xfId="44" applyNumberFormat="1" applyFont="1" applyFill="1" applyBorder="1" applyAlignment="1">
      <alignment horizontal="center" vertical="center"/>
    </xf>
    <xf numFmtId="49" fontId="0" fillId="41" borderId="25" xfId="67" applyNumberFormat="1" applyFont="1" applyFill="1" applyBorder="1" applyAlignment="1">
      <alignment horizontal="center" vertical="center"/>
      <protection/>
    </xf>
    <xf numFmtId="2" fontId="5" fillId="41" borderId="26" xfId="44" applyNumberFormat="1" applyFont="1" applyFill="1" applyBorder="1" applyAlignment="1">
      <alignment horizontal="center" vertical="center"/>
    </xf>
    <xf numFmtId="49" fontId="0" fillId="41" borderId="28" xfId="66" applyNumberFormat="1" applyFont="1" applyFill="1" applyBorder="1" applyAlignment="1">
      <alignment horizontal="center" vertical="center"/>
      <protection/>
    </xf>
    <xf numFmtId="0" fontId="78" fillId="0" borderId="0" xfId="0" applyFont="1" applyAlignment="1">
      <alignment horizontal="right"/>
    </xf>
    <xf numFmtId="0" fontId="44" fillId="0" borderId="0" xfId="66" applyFont="1">
      <alignment/>
      <protection/>
    </xf>
    <xf numFmtId="0" fontId="28" fillId="0" borderId="0" xfId="66" applyFont="1" applyFill="1" applyBorder="1" applyAlignment="1">
      <alignment vertical="center" wrapText="1"/>
      <protection/>
    </xf>
    <xf numFmtId="0" fontId="28" fillId="0" borderId="29" xfId="66" applyFont="1" applyFill="1" applyBorder="1" applyAlignment="1">
      <alignment horizontal="center" vertical="center" wrapText="1"/>
      <protection/>
    </xf>
    <xf numFmtId="8" fontId="0" fillId="0" borderId="0" xfId="46" applyNumberFormat="1" applyFont="1" applyAlignment="1">
      <alignment/>
    </xf>
    <xf numFmtId="6" fontId="0" fillId="0" borderId="0" xfId="0" applyNumberFormat="1" applyAlignment="1">
      <alignment/>
    </xf>
    <xf numFmtId="173" fontId="26" fillId="0" borderId="29" xfId="46" applyNumberFormat="1" applyFont="1" applyFill="1" applyBorder="1" applyAlignment="1">
      <alignment/>
    </xf>
    <xf numFmtId="1" fontId="89" fillId="0" borderId="0" xfId="0" applyNumberFormat="1" applyFont="1" applyAlignment="1">
      <alignment/>
    </xf>
    <xf numFmtId="0" fontId="26" fillId="0" borderId="0" xfId="0" applyFont="1" applyFill="1" applyAlignment="1">
      <alignment vertical="center" wrapText="1"/>
    </xf>
    <xf numFmtId="0" fontId="78" fillId="0" borderId="0" xfId="0" applyFont="1" applyAlignment="1">
      <alignment horizontal="center"/>
    </xf>
    <xf numFmtId="0" fontId="78" fillId="0" borderId="10" xfId="0" applyFont="1" applyBorder="1" applyAlignment="1">
      <alignment/>
    </xf>
    <xf numFmtId="0" fontId="92" fillId="0" borderId="0" xfId="0" applyFont="1" applyAlignment="1">
      <alignment/>
    </xf>
    <xf numFmtId="0" fontId="93" fillId="0" borderId="0" xfId="0" applyFont="1" applyAlignment="1">
      <alignment/>
    </xf>
    <xf numFmtId="0" fontId="78" fillId="0" borderId="0" xfId="0" applyFont="1" applyAlignment="1">
      <alignment wrapText="1"/>
    </xf>
    <xf numFmtId="0" fontId="0" fillId="11" borderId="0" xfId="0" applyFill="1" applyAlignment="1">
      <alignment/>
    </xf>
    <xf numFmtId="0" fontId="0" fillId="5" borderId="0" xfId="0" applyFill="1" applyAlignment="1">
      <alignment/>
    </xf>
    <xf numFmtId="0" fontId="0" fillId="4" borderId="0" xfId="0" applyFill="1" applyAlignment="1">
      <alignment/>
    </xf>
    <xf numFmtId="9" fontId="0" fillId="5" borderId="0" xfId="70" applyFont="1" applyFill="1" applyAlignment="1">
      <alignment/>
    </xf>
    <xf numFmtId="1" fontId="0" fillId="4" borderId="0" xfId="0" applyNumberFormat="1" applyFill="1" applyAlignment="1">
      <alignment/>
    </xf>
    <xf numFmtId="0" fontId="87" fillId="4" borderId="0" xfId="0" applyFont="1" applyFill="1" applyAlignment="1">
      <alignment/>
    </xf>
    <xf numFmtId="0" fontId="78" fillId="12" borderId="10" xfId="0" applyFont="1" applyFill="1" applyBorder="1" applyAlignment="1">
      <alignment/>
    </xf>
    <xf numFmtId="0" fontId="0" fillId="12" borderId="10" xfId="0" applyFill="1" applyBorder="1" applyAlignment="1">
      <alignment/>
    </xf>
    <xf numFmtId="0" fontId="78" fillId="12" borderId="0" xfId="0" applyFont="1" applyFill="1" applyAlignment="1">
      <alignment/>
    </xf>
    <xf numFmtId="166" fontId="0" fillId="6" borderId="0" xfId="0" applyNumberFormat="1" applyFill="1" applyBorder="1" applyAlignment="1">
      <alignment/>
    </xf>
    <xf numFmtId="166" fontId="0" fillId="6" borderId="10" xfId="0" applyNumberFormat="1" applyFill="1" applyBorder="1" applyAlignment="1">
      <alignment/>
    </xf>
    <xf numFmtId="167" fontId="0" fillId="6" borderId="0" xfId="0" applyNumberFormat="1" applyFill="1" applyBorder="1" applyAlignment="1">
      <alignment/>
    </xf>
    <xf numFmtId="3" fontId="6" fillId="6" borderId="0" xfId="61" applyNumberFormat="1" applyFont="1" applyFill="1" applyBorder="1" applyAlignment="1">
      <alignment horizontal="right" indent="2"/>
    </xf>
    <xf numFmtId="0" fontId="26" fillId="0" borderId="0" xfId="0" applyFont="1" applyAlignment="1">
      <alignment/>
    </xf>
    <xf numFmtId="0" fontId="5" fillId="0" borderId="0" xfId="0" applyFont="1" applyAlignment="1">
      <alignment/>
    </xf>
    <xf numFmtId="9" fontId="22" fillId="0" borderId="0" xfId="0" applyNumberFormat="1" applyFont="1" applyAlignment="1">
      <alignment/>
    </xf>
    <xf numFmtId="0" fontId="26" fillId="0" borderId="45" xfId="0" applyFont="1" applyBorder="1" applyAlignment="1">
      <alignment/>
    </xf>
    <xf numFmtId="0" fontId="5" fillId="0" borderId="30" xfId="0" applyFont="1" applyBorder="1" applyAlignment="1">
      <alignment/>
    </xf>
    <xf numFmtId="0" fontId="5" fillId="0" borderId="44" xfId="0" applyFont="1" applyBorder="1" applyAlignment="1">
      <alignment/>
    </xf>
    <xf numFmtId="0" fontId="5" fillId="0" borderId="24" xfId="0" applyFont="1" applyBorder="1" applyAlignment="1">
      <alignment/>
    </xf>
    <xf numFmtId="0" fontId="5" fillId="0" borderId="0" xfId="0" applyFont="1" applyBorder="1" applyAlignment="1">
      <alignment/>
    </xf>
    <xf numFmtId="9" fontId="22" fillId="0" borderId="25" xfId="0" applyNumberFormat="1" applyFont="1" applyBorder="1" applyAlignment="1">
      <alignment/>
    </xf>
    <xf numFmtId="0" fontId="5" fillId="0" borderId="25" xfId="0" applyFont="1" applyBorder="1" applyAlignment="1">
      <alignment/>
    </xf>
    <xf numFmtId="0" fontId="26" fillId="0" borderId="24" xfId="0" applyFont="1" applyBorder="1" applyAlignment="1">
      <alignment/>
    </xf>
    <xf numFmtId="0" fontId="5" fillId="0" borderId="27" xfId="0" applyFont="1" applyBorder="1" applyAlignment="1">
      <alignment/>
    </xf>
    <xf numFmtId="0" fontId="5" fillId="0" borderId="10" xfId="0" applyFont="1" applyBorder="1" applyAlignment="1">
      <alignment/>
    </xf>
    <xf numFmtId="9" fontId="22" fillId="0" borderId="28" xfId="0" applyNumberFormat="1" applyFont="1" applyBorder="1" applyAlignment="1">
      <alignment/>
    </xf>
    <xf numFmtId="0" fontId="80" fillId="0" borderId="0" xfId="63" applyFont="1" applyFill="1" applyAlignment="1">
      <alignment horizontal="right"/>
      <protection/>
    </xf>
    <xf numFmtId="14" fontId="5" fillId="0" borderId="46" xfId="63" applyNumberFormat="1" applyFont="1" applyFill="1" applyBorder="1" applyAlignment="1" quotePrefix="1">
      <alignment horizontal="left" vertical="center" wrapText="1"/>
      <protection/>
    </xf>
    <xf numFmtId="6" fontId="5" fillId="0" borderId="46" xfId="63" applyNumberFormat="1" applyFont="1" applyFill="1" applyBorder="1" applyAlignment="1">
      <alignment horizontal="left" vertical="center" wrapText="1"/>
      <protection/>
    </xf>
    <xf numFmtId="0" fontId="5" fillId="0" borderId="43" xfId="63" applyFont="1" applyFill="1" applyBorder="1" applyAlignment="1" quotePrefix="1">
      <alignment horizontal="justify" vertical="center" wrapText="1"/>
      <protection/>
    </xf>
    <xf numFmtId="0" fontId="5" fillId="0" borderId="26" xfId="63" applyFont="1" applyFill="1" applyBorder="1" applyAlignment="1" quotePrefix="1">
      <alignment horizontal="justify" vertical="center" wrapText="1"/>
      <protection/>
    </xf>
    <xf numFmtId="0" fontId="5" fillId="0" borderId="46" xfId="63" applyFont="1" applyFill="1" applyBorder="1" applyAlignment="1">
      <alignment horizontal="justify" vertical="center" wrapText="1"/>
      <protection/>
    </xf>
    <xf numFmtId="0" fontId="5" fillId="0" borderId="46" xfId="63" applyFont="1" applyFill="1" applyBorder="1" applyAlignment="1">
      <alignment vertical="center" wrapText="1"/>
      <protection/>
    </xf>
    <xf numFmtId="0" fontId="38" fillId="0" borderId="0" xfId="63" applyFont="1" applyFill="1" applyBorder="1">
      <alignment/>
      <protection/>
    </xf>
    <xf numFmtId="0" fontId="38" fillId="0" borderId="0" xfId="63" applyFont="1" applyFill="1" applyBorder="1" applyAlignment="1">
      <alignment horizontal="justify" vertical="top" wrapText="1"/>
      <protection/>
    </xf>
    <xf numFmtId="0" fontId="5" fillId="0" borderId="30" xfId="67" applyFont="1" applyFill="1" applyBorder="1" applyAlignment="1">
      <alignment vertical="center" wrapText="1"/>
      <protection/>
    </xf>
    <xf numFmtId="9" fontId="22" fillId="0" borderId="45" xfId="71" applyNumberFormat="1" applyFont="1" applyFill="1" applyBorder="1" applyAlignment="1">
      <alignment horizontal="center" vertical="center"/>
    </xf>
    <xf numFmtId="9" fontId="5" fillId="0" borderId="43" xfId="71" applyNumberFormat="1" applyFont="1" applyFill="1" applyBorder="1" applyAlignment="1">
      <alignment horizontal="center" vertical="center"/>
    </xf>
    <xf numFmtId="0" fontId="5" fillId="0" borderId="0" xfId="67" applyFont="1" applyFill="1" applyBorder="1" applyAlignment="1">
      <alignment vertical="center" wrapText="1"/>
      <protection/>
    </xf>
    <xf numFmtId="37" fontId="22" fillId="0" borderId="24" xfId="44" applyNumberFormat="1" applyFont="1" applyFill="1" applyBorder="1" applyAlignment="1" quotePrefix="1">
      <alignment horizontal="center" vertical="center"/>
    </xf>
    <xf numFmtId="1" fontId="5" fillId="0" borderId="23" xfId="71" applyNumberFormat="1" applyFont="1" applyFill="1" applyBorder="1" applyAlignment="1">
      <alignment horizontal="center" vertical="center"/>
    </xf>
    <xf numFmtId="49" fontId="0" fillId="0" borderId="23" xfId="72" applyNumberFormat="1" applyFont="1" applyFill="1" applyBorder="1" applyAlignment="1">
      <alignment horizontal="center" vertical="center"/>
    </xf>
    <xf numFmtId="9" fontId="22" fillId="0" borderId="24" xfId="71" applyFont="1" applyFill="1" applyBorder="1" applyAlignment="1">
      <alignment horizontal="center" vertical="center"/>
    </xf>
    <xf numFmtId="9" fontId="5" fillId="0" borderId="23" xfId="71" applyFont="1" applyFill="1" applyBorder="1" applyAlignment="1">
      <alignment horizontal="center" vertical="center"/>
    </xf>
    <xf numFmtId="3" fontId="22" fillId="0" borderId="24" xfId="44" applyNumberFormat="1" applyFont="1" applyFill="1" applyBorder="1" applyAlignment="1">
      <alignment horizontal="center" vertical="center"/>
    </xf>
    <xf numFmtId="1" fontId="5" fillId="0" borderId="23" xfId="44" applyNumberFormat="1" applyFont="1" applyFill="1" applyBorder="1" applyAlignment="1">
      <alignment horizontal="center" vertical="center"/>
    </xf>
    <xf numFmtId="0" fontId="5" fillId="0" borderId="10" xfId="66" applyFont="1" applyFill="1" applyBorder="1" applyAlignment="1">
      <alignment vertical="center" wrapText="1"/>
      <protection/>
    </xf>
    <xf numFmtId="9" fontId="22" fillId="0" borderId="27" xfId="70" applyFont="1" applyFill="1" applyBorder="1" applyAlignment="1">
      <alignment horizontal="center" vertical="center"/>
    </xf>
    <xf numFmtId="9" fontId="5" fillId="0" borderId="26" xfId="70" applyFont="1" applyFill="1" applyBorder="1" applyAlignment="1">
      <alignment horizontal="center" vertical="center"/>
    </xf>
    <xf numFmtId="2" fontId="5" fillId="0" borderId="26" xfId="44" applyNumberFormat="1" applyFont="1" applyFill="1" applyBorder="1" applyAlignment="1">
      <alignment horizontal="center" vertical="center"/>
    </xf>
    <xf numFmtId="14" fontId="5" fillId="0" borderId="29" xfId="63" applyNumberFormat="1" applyFont="1" applyFill="1" applyBorder="1" applyAlignment="1" quotePrefix="1">
      <alignment horizontal="center" vertical="center" wrapText="1"/>
      <protection/>
    </xf>
    <xf numFmtId="0" fontId="78" fillId="0" borderId="0" xfId="0" applyFont="1" applyFill="1" applyAlignment="1">
      <alignment horizontal="right"/>
    </xf>
    <xf numFmtId="0" fontId="0" fillId="0" borderId="0" xfId="0" applyFill="1" applyAlignment="1">
      <alignment/>
    </xf>
    <xf numFmtId="174" fontId="0" fillId="0" borderId="0" xfId="0" applyNumberFormat="1" applyAlignment="1">
      <alignment/>
    </xf>
    <xf numFmtId="0" fontId="26" fillId="0" borderId="40" xfId="63" applyFont="1" applyBorder="1" applyAlignment="1">
      <alignment horizontal="center" vertical="center" wrapText="1"/>
      <protection/>
    </xf>
    <xf numFmtId="0" fontId="26" fillId="0" borderId="47" xfId="63" applyFont="1" applyBorder="1" applyAlignment="1">
      <alignment horizontal="center" vertical="center" wrapText="1"/>
      <protection/>
    </xf>
    <xf numFmtId="0" fontId="5" fillId="0" borderId="0" xfId="63" applyNumberFormat="1" applyFont="1" applyBorder="1" applyAlignment="1">
      <alignment horizontal="left" wrapText="1"/>
      <protection/>
    </xf>
    <xf numFmtId="0" fontId="5" fillId="0" borderId="0" xfId="63" applyFont="1" applyFill="1" applyBorder="1" applyAlignment="1">
      <alignment vertical="top" wrapText="1"/>
      <protection/>
    </xf>
    <xf numFmtId="0" fontId="5" fillId="0" borderId="0" xfId="63" applyFont="1" applyFill="1" applyBorder="1" applyAlignment="1">
      <alignment horizontal="left" vertical="top" wrapText="1"/>
      <protection/>
    </xf>
    <xf numFmtId="0" fontId="25" fillId="0" borderId="0" xfId="63" applyFont="1" applyBorder="1" applyAlignment="1">
      <alignment horizontal="center"/>
      <protection/>
    </xf>
    <xf numFmtId="0" fontId="5" fillId="0" borderId="0" xfId="65" applyNumberFormat="1" applyFont="1" applyBorder="1" applyAlignment="1">
      <alignment horizontal="left" wrapText="1"/>
      <protection/>
    </xf>
    <xf numFmtId="0" fontId="8" fillId="0" borderId="0" xfId="63" applyFont="1" applyAlignment="1">
      <alignment horizontal="center" vertical="center"/>
      <protection/>
    </xf>
    <xf numFmtId="0" fontId="5" fillId="0" borderId="0" xfId="65" applyFont="1" applyBorder="1" applyAlignment="1">
      <alignment horizontal="left" wrapText="1"/>
      <protection/>
    </xf>
    <xf numFmtId="0" fontId="5" fillId="0" borderId="0" xfId="65" applyFont="1" applyBorder="1" applyAlignment="1">
      <alignment horizontal="left" vertical="top" wrapText="1"/>
      <protection/>
    </xf>
    <xf numFmtId="0" fontId="72" fillId="0" borderId="0" xfId="56" applyAlignment="1" applyProtection="1">
      <alignment horizontal="left"/>
      <protection/>
    </xf>
    <xf numFmtId="0" fontId="15" fillId="0" borderId="0" xfId="66" applyFont="1" applyAlignment="1">
      <alignment horizontal="left" vertical="top" wrapText="1"/>
      <protection/>
    </xf>
    <xf numFmtId="0" fontId="15" fillId="0" borderId="0" xfId="66" applyFont="1" applyFill="1" applyAlignment="1">
      <alignment horizontal="center" wrapText="1"/>
      <protection/>
    </xf>
    <xf numFmtId="0" fontId="26" fillId="0" borderId="43" xfId="66" applyFont="1" applyFill="1" applyBorder="1" applyAlignment="1">
      <alignment horizontal="left" vertical="center"/>
      <protection/>
    </xf>
    <xf numFmtId="0" fontId="26" fillId="0" borderId="48" xfId="66" applyFont="1" applyFill="1" applyBorder="1" applyAlignment="1">
      <alignment horizontal="left" vertical="center"/>
      <protection/>
    </xf>
    <xf numFmtId="0" fontId="7" fillId="0" borderId="44" xfId="66" applyFont="1" applyBorder="1" applyAlignment="1">
      <alignment vertical="center"/>
      <protection/>
    </xf>
    <xf numFmtId="0" fontId="7" fillId="0" borderId="49" xfId="66" applyFont="1" applyBorder="1" applyAlignment="1">
      <alignment vertical="center"/>
      <protection/>
    </xf>
    <xf numFmtId="0" fontId="27" fillId="0" borderId="43" xfId="66" applyFont="1" applyBorder="1" applyAlignment="1">
      <alignment horizontal="center" vertical="center" wrapText="1"/>
      <protection/>
    </xf>
    <xf numFmtId="0" fontId="27" fillId="0" borderId="26" xfId="66" applyFont="1" applyBorder="1" applyAlignment="1">
      <alignment horizontal="center" vertical="center" wrapText="1"/>
      <protection/>
    </xf>
    <xf numFmtId="0" fontId="5" fillId="0" borderId="0" xfId="66" applyFont="1" applyAlignment="1">
      <alignment horizontal="left" wrapText="1"/>
      <protection/>
    </xf>
    <xf numFmtId="0" fontId="7" fillId="0" borderId="50" xfId="66" applyFont="1" applyBorder="1" applyAlignment="1">
      <alignment horizontal="center"/>
      <protection/>
    </xf>
    <xf numFmtId="0" fontId="7" fillId="0" borderId="51" xfId="66" applyFont="1" applyBorder="1" applyAlignment="1">
      <alignment horizontal="center"/>
      <protection/>
    </xf>
    <xf numFmtId="0" fontId="7" fillId="0" borderId="52" xfId="66" applyFont="1" applyBorder="1" applyAlignment="1">
      <alignment horizontal="center"/>
      <protection/>
    </xf>
    <xf numFmtId="0" fontId="29" fillId="0" borderId="0" xfId="66" applyFont="1" applyBorder="1" applyAlignment="1">
      <alignment horizontal="center" vertical="center" wrapText="1"/>
      <protection/>
    </xf>
    <xf numFmtId="0" fontId="26" fillId="0" borderId="0" xfId="66" applyFont="1" applyFill="1" applyAlignment="1">
      <alignment horizontal="left" vertical="center" wrapText="1"/>
      <protection/>
    </xf>
    <xf numFmtId="0" fontId="26" fillId="0" borderId="0" xfId="0" applyFont="1" applyFill="1" applyAlignment="1">
      <alignment horizontal="left" vertical="center" wrapText="1"/>
    </xf>
    <xf numFmtId="0" fontId="78" fillId="0" borderId="0" xfId="0" applyFont="1" applyAlignment="1">
      <alignment horizontal="left" vertical="top" wrapText="1"/>
    </xf>
    <xf numFmtId="0" fontId="89" fillId="0" borderId="0" xfId="0" applyFont="1" applyAlignment="1">
      <alignment horizontal="left" vertical="top" wrapText="1"/>
    </xf>
    <xf numFmtId="0" fontId="8" fillId="0" borderId="0" xfId="61" applyFont="1" applyFill="1" applyBorder="1" applyAlignment="1">
      <alignment horizontal="right"/>
    </xf>
    <xf numFmtId="0" fontId="7" fillId="0" borderId="0" xfId="61" applyFont="1" applyFill="1" applyBorder="1" applyAlignment="1">
      <alignment horizontal="center"/>
    </xf>
    <xf numFmtId="0" fontId="7" fillId="0" borderId="0" xfId="61" applyFont="1" applyFill="1" applyBorder="1" applyAlignment="1">
      <alignment horizontal="center" vertical="center"/>
    </xf>
    <xf numFmtId="0" fontId="11" fillId="0" borderId="0" xfId="61" applyFont="1" applyBorder="1" applyAlignment="1">
      <alignment horizontal="center" vertical="center"/>
    </xf>
    <xf numFmtId="0" fontId="12" fillId="0" borderId="16" xfId="61" applyFont="1" applyFill="1" applyBorder="1" applyAlignment="1">
      <alignment horizont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Hyperlink" xfId="56"/>
    <cellStyle name="Hyperlink_Mongolia Health ERR.IM Cleaned - v15" xfId="57"/>
    <cellStyle name="Input" xfId="58"/>
    <cellStyle name="Linked Cell" xfId="59"/>
    <cellStyle name="Neutral" xfId="60"/>
    <cellStyle name="Normal 2" xfId="61"/>
    <cellStyle name="Normal 3" xfId="62"/>
    <cellStyle name="Normal_ConsolidatedAg_IM_Clean" xfId="63"/>
    <cellStyle name="Normal_ConsolidatedAg_IM_Clean - v3" xfId="64"/>
    <cellStyle name="Normal_FeederRoadAnalysis_IM_Clean - v4" xfId="65"/>
    <cellStyle name="Normal_Mongolia Health ERR.IM Cleaned - v15" xfId="66"/>
    <cellStyle name="Normal_Mongolia Rail ERR.IM Cleaned" xfId="67"/>
    <cellStyle name="Note" xfId="68"/>
    <cellStyle name="Output" xfId="69"/>
    <cellStyle name="Percent" xfId="70"/>
    <cellStyle name="Percent 2" xfId="71"/>
    <cellStyle name="Percent 3" xfId="72"/>
    <cellStyle name="Title" xfId="73"/>
    <cellStyle name="Total" xfId="74"/>
    <cellStyle name="Warning Text" xfId="75"/>
  </cellStyles>
  <dxfs count="28">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rgb="FFFFFFFF"/>
      </font>
      <fill>
        <patternFill patternType="none">
          <bgColor indexed="65"/>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Probability Distribution of Value-Added Per Bed Night (CVE)</a:t>
            </a:r>
          </a:p>
        </c:rich>
      </c:tx>
      <c:layout>
        <c:manualLayout>
          <c:xMode val="factor"/>
          <c:yMode val="factor"/>
          <c:x val="-0.028"/>
          <c:y val="-0.0135"/>
        </c:manualLayout>
      </c:layout>
      <c:spPr>
        <a:noFill/>
        <a:ln w="3175">
          <a:noFill/>
        </a:ln>
      </c:spPr>
    </c:title>
    <c:plotArea>
      <c:layout>
        <c:manualLayout>
          <c:xMode val="edge"/>
          <c:yMode val="edge"/>
          <c:x val="0.004"/>
          <c:y val="0.18775"/>
          <c:w val="0.9795"/>
          <c:h val="0.815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'Combined-Prob Distributions'!$F$11:$F$34</c:f>
              <c:numCache/>
            </c:numRef>
          </c:cat>
          <c:val>
            <c:numRef>
              <c:f>'Combined-Prob Distributions'!$G$11:$G$34</c:f>
              <c:numCache/>
            </c:numRef>
          </c:val>
          <c:smooth val="0"/>
        </c:ser>
        <c:marker val="1"/>
        <c:axId val="14281512"/>
        <c:axId val="61424745"/>
      </c:lineChart>
      <c:catAx>
        <c:axId val="142815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424745"/>
        <c:crosses val="autoZero"/>
        <c:auto val="1"/>
        <c:lblOffset val="100"/>
        <c:tickLblSkip val="1"/>
        <c:noMultiLvlLbl val="0"/>
      </c:catAx>
      <c:valAx>
        <c:axId val="614247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81512"/>
        <c:crossesAt val="1"/>
        <c:crossBetween val="between"/>
        <c:dispUnits/>
      </c:valAx>
      <c:spPr>
        <a:solidFill>
          <a:srgbClr val="FFFFFF"/>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Probability Distribution, Growth in Capacity Without Project</a:t>
            </a:r>
          </a:p>
        </c:rich>
      </c:tx>
      <c:layout>
        <c:manualLayout>
          <c:xMode val="factor"/>
          <c:yMode val="factor"/>
          <c:x val="-0.0015"/>
          <c:y val="-0.011"/>
        </c:manualLayout>
      </c:layout>
      <c:spPr>
        <a:noFill/>
        <a:ln w="3175">
          <a:noFill/>
        </a:ln>
      </c:spPr>
    </c:title>
    <c:plotArea>
      <c:layout>
        <c:manualLayout>
          <c:xMode val="edge"/>
          <c:yMode val="edge"/>
          <c:x val="0.004"/>
          <c:y val="0.1885"/>
          <c:w val="0.9775"/>
          <c:h val="0.815"/>
        </c:manualLayout>
      </c:layout>
      <c:lineChart>
        <c:grouping val="standard"/>
        <c:varyColors val="0"/>
        <c:ser>
          <c:idx val="1"/>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'Combined-Prob Distributions'!$F$39:$F$59</c:f>
              <c:numCache/>
            </c:numRef>
          </c:cat>
          <c:val>
            <c:numRef>
              <c:f>'Combined-Prob Distributions'!$G$39:$G$59</c:f>
              <c:numCache/>
            </c:numRef>
          </c:val>
          <c:smooth val="0"/>
        </c:ser>
        <c:marker val="1"/>
        <c:axId val="15951794"/>
        <c:axId val="9348419"/>
      </c:lineChart>
      <c:catAx>
        <c:axId val="15951794"/>
        <c:scaling>
          <c:orientation val="minMax"/>
        </c:scaling>
        <c:axPos val="b"/>
        <c:delete val="0"/>
        <c:numFmt formatCode="General" sourceLinked="1"/>
        <c:majorTickMark val="out"/>
        <c:minorTickMark val="none"/>
        <c:tickLblPos val="nextTo"/>
        <c:spPr>
          <a:ln w="3175">
            <a:solidFill>
              <a:srgbClr val="808080"/>
            </a:solidFill>
          </a:ln>
        </c:spPr>
        <c:crossAx val="9348419"/>
        <c:crosses val="autoZero"/>
        <c:auto val="1"/>
        <c:lblOffset val="100"/>
        <c:tickLblSkip val="1"/>
        <c:noMultiLvlLbl val="0"/>
      </c:catAx>
      <c:valAx>
        <c:axId val="93484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951794"/>
        <c:crossesAt val="1"/>
        <c:crossBetween val="between"/>
        <c:dispUnits/>
      </c:valAx>
      <c:spPr>
        <a:solidFill>
          <a:srgbClr val="FFFFFF"/>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3-Island Bed Capacity</a:t>
            </a:r>
          </a:p>
        </c:rich>
      </c:tx>
      <c:layout>
        <c:manualLayout>
          <c:xMode val="factor"/>
          <c:yMode val="factor"/>
          <c:x val="-0.00275"/>
          <c:y val="-0.01225"/>
        </c:manualLayout>
      </c:layout>
      <c:spPr>
        <a:noFill/>
        <a:ln w="3175">
          <a:noFill/>
        </a:ln>
      </c:spPr>
    </c:title>
    <c:plotArea>
      <c:layout>
        <c:manualLayout>
          <c:xMode val="edge"/>
          <c:yMode val="edge"/>
          <c:x val="0.00225"/>
          <c:y val="0.09725"/>
          <c:w val="0.73375"/>
          <c:h val="0.90625"/>
        </c:manualLayout>
      </c:layout>
      <c:lineChart>
        <c:grouping val="standard"/>
        <c:varyColors val="0"/>
        <c:ser>
          <c:idx val="0"/>
          <c:order val="0"/>
          <c:tx>
            <c:v>Trend Without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cat>
            <c:numRef>
              <c:f>Indicators!$D$8:$Y$8</c:f>
              <c:numCache/>
            </c:numRef>
          </c:cat>
          <c:val>
            <c:numRef>
              <c:f>Indicators!$D$10:$Y$10</c:f>
              <c:numCache/>
            </c:numRef>
          </c:val>
          <c:smooth val="0"/>
        </c:ser>
        <c:ser>
          <c:idx val="1"/>
          <c:order val="1"/>
          <c:tx>
            <c:v>Trend With</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Indicators!$D$8:$Y$8</c:f>
              <c:numCache/>
            </c:numRef>
          </c:cat>
          <c:val>
            <c:numRef>
              <c:f>Indicators!$D$15:$Y$15</c:f>
              <c:numCache/>
            </c:numRef>
          </c:val>
          <c:smooth val="0"/>
        </c:ser>
        <c:marker val="1"/>
        <c:axId val="17026908"/>
        <c:axId val="19024445"/>
      </c:lineChart>
      <c:catAx>
        <c:axId val="17026908"/>
        <c:scaling>
          <c:orientation val="minMax"/>
        </c:scaling>
        <c:axPos val="b"/>
        <c:delete val="0"/>
        <c:numFmt formatCode="General" sourceLinked="1"/>
        <c:majorTickMark val="out"/>
        <c:minorTickMark val="none"/>
        <c:tickLblPos val="nextTo"/>
        <c:spPr>
          <a:ln w="3175">
            <a:solidFill>
              <a:srgbClr val="808080"/>
            </a:solidFill>
          </a:ln>
        </c:spPr>
        <c:crossAx val="19024445"/>
        <c:crosses val="autoZero"/>
        <c:auto val="1"/>
        <c:lblOffset val="100"/>
        <c:tickLblSkip val="1"/>
        <c:noMultiLvlLbl val="0"/>
      </c:catAx>
      <c:valAx>
        <c:axId val="190244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26908"/>
        <c:crossesAt val="1"/>
        <c:crossBetween val="between"/>
        <c:dispUnits/>
      </c:valAx>
      <c:spPr>
        <a:solidFill>
          <a:srgbClr val="FFFFFF"/>
        </a:solidFill>
        <a:ln w="3175">
          <a:noFill/>
        </a:ln>
      </c:spPr>
    </c:plotArea>
    <c:legend>
      <c:legendPos val="r"/>
      <c:layout>
        <c:manualLayout>
          <c:xMode val="edge"/>
          <c:yMode val="edge"/>
          <c:x val="0.758"/>
          <c:y val="0.45975"/>
          <c:w val="0.235"/>
          <c:h val="0.172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2</xdr:row>
      <xdr:rowOff>66675</xdr:rowOff>
    </xdr:from>
    <xdr:to>
      <xdr:col>1</xdr:col>
      <xdr:colOff>2276475</xdr:colOff>
      <xdr:row>6</xdr:row>
      <xdr:rowOff>190500</xdr:rowOff>
    </xdr:to>
    <xdr:pic>
      <xdr:nvPicPr>
        <xdr:cNvPr id="1" name="Picture 1"/>
        <xdr:cNvPicPr preferRelativeResize="1">
          <a:picLocks noChangeAspect="1"/>
        </xdr:cNvPicPr>
      </xdr:nvPicPr>
      <xdr:blipFill>
        <a:blip r:embed="rId1"/>
        <a:stretch>
          <a:fillRect/>
        </a:stretch>
      </xdr:blipFill>
      <xdr:spPr>
        <a:xfrm>
          <a:off x="514350" y="390525"/>
          <a:ext cx="2276475" cy="771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85725</xdr:colOff>
      <xdr:row>1</xdr:row>
      <xdr:rowOff>66675</xdr:rowOff>
    </xdr:from>
    <xdr:to>
      <xdr:col>15</xdr:col>
      <xdr:colOff>19050</xdr:colOff>
      <xdr:row>1</xdr:row>
      <xdr:rowOff>238125</xdr:rowOff>
    </xdr:to>
    <xdr:pic>
      <xdr:nvPicPr>
        <xdr:cNvPr id="1" name="Picture 1" descr="MCC horizontal"/>
        <xdr:cNvPicPr preferRelativeResize="1">
          <a:picLocks noChangeAspect="1"/>
        </xdr:cNvPicPr>
      </xdr:nvPicPr>
      <xdr:blipFill>
        <a:blip r:embed="rId1"/>
        <a:stretch>
          <a:fillRect/>
        </a:stretch>
      </xdr:blipFill>
      <xdr:spPr>
        <a:xfrm>
          <a:off x="7724775" y="228600"/>
          <a:ext cx="2047875" cy="171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1</xdr:row>
      <xdr:rowOff>19050</xdr:rowOff>
    </xdr:from>
    <xdr:to>
      <xdr:col>13</xdr:col>
      <xdr:colOff>0</xdr:colOff>
      <xdr:row>1</xdr:row>
      <xdr:rowOff>209550</xdr:rowOff>
    </xdr:to>
    <xdr:pic>
      <xdr:nvPicPr>
        <xdr:cNvPr id="1" name="Picture 1" descr="MCC horizontal"/>
        <xdr:cNvPicPr preferRelativeResize="1">
          <a:picLocks noChangeAspect="1"/>
        </xdr:cNvPicPr>
      </xdr:nvPicPr>
      <xdr:blipFill>
        <a:blip r:embed="rId1"/>
        <a:stretch>
          <a:fillRect/>
        </a:stretch>
      </xdr:blipFill>
      <xdr:spPr>
        <a:xfrm>
          <a:off x="8553450" y="180975"/>
          <a:ext cx="1762125"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476250</xdr:colOff>
      <xdr:row>1</xdr:row>
      <xdr:rowOff>9525</xdr:rowOff>
    </xdr:from>
    <xdr:to>
      <xdr:col>14</xdr:col>
      <xdr:colOff>838200</xdr:colOff>
      <xdr:row>1</xdr:row>
      <xdr:rowOff>180975</xdr:rowOff>
    </xdr:to>
    <xdr:pic>
      <xdr:nvPicPr>
        <xdr:cNvPr id="1" name="Picture 1" descr="MCC horizontal"/>
        <xdr:cNvPicPr preferRelativeResize="1">
          <a:picLocks noChangeAspect="1"/>
        </xdr:cNvPicPr>
      </xdr:nvPicPr>
      <xdr:blipFill>
        <a:blip r:embed="rId1"/>
        <a:stretch>
          <a:fillRect/>
        </a:stretch>
      </xdr:blipFill>
      <xdr:spPr>
        <a:xfrm>
          <a:off x="8115300" y="171450"/>
          <a:ext cx="158115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400050</xdr:colOff>
      <xdr:row>1</xdr:row>
      <xdr:rowOff>47625</xdr:rowOff>
    </xdr:from>
    <xdr:to>
      <xdr:col>10</xdr:col>
      <xdr:colOff>600075</xdr:colOff>
      <xdr:row>1</xdr:row>
      <xdr:rowOff>219075</xdr:rowOff>
    </xdr:to>
    <xdr:pic>
      <xdr:nvPicPr>
        <xdr:cNvPr id="1" name="Picture 7" descr="MCC horizontal"/>
        <xdr:cNvPicPr preferRelativeResize="1">
          <a:picLocks noChangeAspect="1"/>
        </xdr:cNvPicPr>
      </xdr:nvPicPr>
      <xdr:blipFill>
        <a:blip r:embed="rId1"/>
        <a:stretch>
          <a:fillRect/>
        </a:stretch>
      </xdr:blipFill>
      <xdr:spPr>
        <a:xfrm>
          <a:off x="7943850" y="209550"/>
          <a:ext cx="2028825"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400050</xdr:colOff>
      <xdr:row>1</xdr:row>
      <xdr:rowOff>47625</xdr:rowOff>
    </xdr:from>
    <xdr:to>
      <xdr:col>10</xdr:col>
      <xdr:colOff>600075</xdr:colOff>
      <xdr:row>1</xdr:row>
      <xdr:rowOff>257175</xdr:rowOff>
    </xdr:to>
    <xdr:pic>
      <xdr:nvPicPr>
        <xdr:cNvPr id="1" name="Picture 1" descr="MCC horizontal"/>
        <xdr:cNvPicPr preferRelativeResize="1">
          <a:picLocks noChangeAspect="1"/>
        </xdr:cNvPicPr>
      </xdr:nvPicPr>
      <xdr:blipFill>
        <a:blip r:embed="rId1"/>
        <a:stretch>
          <a:fillRect/>
        </a:stretch>
      </xdr:blipFill>
      <xdr:spPr>
        <a:xfrm>
          <a:off x="8277225" y="209550"/>
          <a:ext cx="2057400"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247650</xdr:colOff>
      <xdr:row>1</xdr:row>
      <xdr:rowOff>28575</xdr:rowOff>
    </xdr:from>
    <xdr:to>
      <xdr:col>15</xdr:col>
      <xdr:colOff>466725</xdr:colOff>
      <xdr:row>1</xdr:row>
      <xdr:rowOff>238125</xdr:rowOff>
    </xdr:to>
    <xdr:pic>
      <xdr:nvPicPr>
        <xdr:cNvPr id="1" name="Picture 1" descr="MCC horizontal"/>
        <xdr:cNvPicPr preferRelativeResize="1">
          <a:picLocks noChangeAspect="1"/>
        </xdr:cNvPicPr>
      </xdr:nvPicPr>
      <xdr:blipFill>
        <a:blip r:embed="rId1"/>
        <a:stretch>
          <a:fillRect/>
        </a:stretch>
      </xdr:blipFill>
      <xdr:spPr>
        <a:xfrm>
          <a:off x="8715375" y="190500"/>
          <a:ext cx="2009775" cy="209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142875</xdr:rowOff>
    </xdr:from>
    <xdr:to>
      <xdr:col>2</xdr:col>
      <xdr:colOff>66675</xdr:colOff>
      <xdr:row>5</xdr:row>
      <xdr:rowOff>47625</xdr:rowOff>
    </xdr:to>
    <xdr:pic>
      <xdr:nvPicPr>
        <xdr:cNvPr id="1" name="Picture 1" descr="content-branding-logo-horz"/>
        <xdr:cNvPicPr preferRelativeResize="1">
          <a:picLocks noChangeAspect="1"/>
        </xdr:cNvPicPr>
      </xdr:nvPicPr>
      <xdr:blipFill>
        <a:blip r:embed="rId1"/>
        <a:stretch>
          <a:fillRect/>
        </a:stretch>
      </xdr:blipFill>
      <xdr:spPr>
        <a:xfrm>
          <a:off x="228600" y="142875"/>
          <a:ext cx="2733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24</xdr:row>
      <xdr:rowOff>0</xdr:rowOff>
    </xdr:from>
    <xdr:to>
      <xdr:col>1</xdr:col>
      <xdr:colOff>2495550</xdr:colOff>
      <xdr:row>25</xdr:row>
      <xdr:rowOff>19050</xdr:rowOff>
    </xdr:to>
    <xdr:pic>
      <xdr:nvPicPr>
        <xdr:cNvPr id="1" name="Picture 1" descr="MCC horizontal"/>
        <xdr:cNvPicPr preferRelativeResize="1">
          <a:picLocks noChangeAspect="1"/>
        </xdr:cNvPicPr>
      </xdr:nvPicPr>
      <xdr:blipFill>
        <a:blip r:embed="rId1"/>
        <a:stretch>
          <a:fillRect/>
        </a:stretch>
      </xdr:blipFill>
      <xdr:spPr>
        <a:xfrm>
          <a:off x="571500" y="6124575"/>
          <a:ext cx="2438400"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2</xdr:col>
      <xdr:colOff>9525</xdr:colOff>
      <xdr:row>38</xdr:row>
      <xdr:rowOff>9525</xdr:rowOff>
    </xdr:from>
    <xdr:to>
      <xdr:col>8</xdr:col>
      <xdr:colOff>266700</xdr:colOff>
      <xdr:row>61</xdr:row>
      <xdr:rowOff>152400</xdr:rowOff>
    </xdr:to>
    <xdr:pic>
      <xdr:nvPicPr>
        <xdr:cNvPr id="6" name="Picture 6"/>
        <xdr:cNvPicPr preferRelativeResize="1">
          <a:picLocks noChangeAspect="1"/>
        </xdr:cNvPicPr>
      </xdr:nvPicPr>
      <xdr:blipFill>
        <a:blip r:embed="rId2"/>
        <a:stretch>
          <a:fillRect/>
        </a:stretch>
      </xdr:blipFill>
      <xdr:spPr>
        <a:xfrm>
          <a:off x="1609725" y="11391900"/>
          <a:ext cx="8915400" cy="3867150"/>
        </a:xfrm>
        <a:prstGeom prst="rect">
          <a:avLst/>
        </a:prstGeom>
        <a:noFill/>
        <a:ln w="9525" cmpd="sng">
          <a:noFill/>
        </a:ln>
      </xdr:spPr>
    </xdr:pic>
    <xdr:clientData/>
  </xdr:twoCellAnchor>
  <xdr:twoCellAnchor editAs="oneCell">
    <xdr:from>
      <xdr:col>2</xdr:col>
      <xdr:colOff>0</xdr:colOff>
      <xdr:row>66</xdr:row>
      <xdr:rowOff>0</xdr:rowOff>
    </xdr:from>
    <xdr:to>
      <xdr:col>8</xdr:col>
      <xdr:colOff>257175</xdr:colOff>
      <xdr:row>88</xdr:row>
      <xdr:rowOff>66675</xdr:rowOff>
    </xdr:to>
    <xdr:pic>
      <xdr:nvPicPr>
        <xdr:cNvPr id="7" name="Picture 7"/>
        <xdr:cNvPicPr preferRelativeResize="1">
          <a:picLocks noChangeAspect="1"/>
        </xdr:cNvPicPr>
      </xdr:nvPicPr>
      <xdr:blipFill>
        <a:blip r:embed="rId3"/>
        <a:stretch>
          <a:fillRect/>
        </a:stretch>
      </xdr:blipFill>
      <xdr:spPr>
        <a:xfrm>
          <a:off x="1600200" y="16030575"/>
          <a:ext cx="8915400" cy="4124325"/>
        </a:xfrm>
        <a:prstGeom prst="rect">
          <a:avLst/>
        </a:prstGeom>
        <a:noFill/>
        <a:ln w="9525" cmpd="sng">
          <a:noFill/>
        </a:ln>
      </xdr:spPr>
    </xdr:pic>
    <xdr:clientData/>
  </xdr:twoCellAnchor>
  <xdr:twoCellAnchor editAs="oneCell">
    <xdr:from>
      <xdr:col>7</xdr:col>
      <xdr:colOff>180975</xdr:colOff>
      <xdr:row>1</xdr:row>
      <xdr:rowOff>9525</xdr:rowOff>
    </xdr:from>
    <xdr:to>
      <xdr:col>8</xdr:col>
      <xdr:colOff>1200150</xdr:colOff>
      <xdr:row>1</xdr:row>
      <xdr:rowOff>152400</xdr:rowOff>
    </xdr:to>
    <xdr:pic>
      <xdr:nvPicPr>
        <xdr:cNvPr id="8" name="Picture 12" descr="MCC horizontal"/>
        <xdr:cNvPicPr preferRelativeResize="1">
          <a:picLocks noChangeAspect="1"/>
        </xdr:cNvPicPr>
      </xdr:nvPicPr>
      <xdr:blipFill>
        <a:blip r:embed="rId4"/>
        <a:stretch>
          <a:fillRect/>
        </a:stretch>
      </xdr:blipFill>
      <xdr:spPr>
        <a:xfrm>
          <a:off x="9429750" y="171450"/>
          <a:ext cx="202882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40</xdr:row>
      <xdr:rowOff>0</xdr:rowOff>
    </xdr:from>
    <xdr:to>
      <xdr:col>10</xdr:col>
      <xdr:colOff>95250</xdr:colOff>
      <xdr:row>61</xdr:row>
      <xdr:rowOff>47625</xdr:rowOff>
    </xdr:to>
    <xdr:pic>
      <xdr:nvPicPr>
        <xdr:cNvPr id="1" name="Picture 3"/>
        <xdr:cNvPicPr preferRelativeResize="1">
          <a:picLocks noChangeAspect="1"/>
        </xdr:cNvPicPr>
      </xdr:nvPicPr>
      <xdr:blipFill>
        <a:blip r:embed="rId1"/>
        <a:stretch>
          <a:fillRect/>
        </a:stretch>
      </xdr:blipFill>
      <xdr:spPr>
        <a:xfrm>
          <a:off x="514350" y="7800975"/>
          <a:ext cx="8905875" cy="4048125"/>
        </a:xfrm>
        <a:prstGeom prst="rect">
          <a:avLst/>
        </a:prstGeom>
        <a:noFill/>
        <a:ln w="9525" cmpd="sng">
          <a:noFill/>
        </a:ln>
      </xdr:spPr>
    </xdr:pic>
    <xdr:clientData/>
  </xdr:twoCellAnchor>
  <xdr:twoCellAnchor editAs="oneCell">
    <xdr:from>
      <xdr:col>1</xdr:col>
      <xdr:colOff>0</xdr:colOff>
      <xdr:row>62</xdr:row>
      <xdr:rowOff>0</xdr:rowOff>
    </xdr:from>
    <xdr:to>
      <xdr:col>10</xdr:col>
      <xdr:colOff>95250</xdr:colOff>
      <xdr:row>81</xdr:row>
      <xdr:rowOff>171450</xdr:rowOff>
    </xdr:to>
    <xdr:pic>
      <xdr:nvPicPr>
        <xdr:cNvPr id="2" name="Picture 4"/>
        <xdr:cNvPicPr preferRelativeResize="1">
          <a:picLocks noChangeAspect="1"/>
        </xdr:cNvPicPr>
      </xdr:nvPicPr>
      <xdr:blipFill>
        <a:blip r:embed="rId2"/>
        <a:stretch>
          <a:fillRect/>
        </a:stretch>
      </xdr:blipFill>
      <xdr:spPr>
        <a:xfrm>
          <a:off x="514350" y="11991975"/>
          <a:ext cx="8905875" cy="3790950"/>
        </a:xfrm>
        <a:prstGeom prst="rect">
          <a:avLst/>
        </a:prstGeom>
        <a:noFill/>
        <a:ln w="9525" cmpd="sng">
          <a:noFill/>
        </a:ln>
      </xdr:spPr>
    </xdr:pic>
    <xdr:clientData/>
  </xdr:twoCellAnchor>
  <xdr:twoCellAnchor editAs="oneCell">
    <xdr:from>
      <xdr:col>7</xdr:col>
      <xdr:colOff>400050</xdr:colOff>
      <xdr:row>1</xdr:row>
      <xdr:rowOff>38100</xdr:rowOff>
    </xdr:from>
    <xdr:to>
      <xdr:col>10</xdr:col>
      <xdr:colOff>600075</xdr:colOff>
      <xdr:row>1</xdr:row>
      <xdr:rowOff>180975</xdr:rowOff>
    </xdr:to>
    <xdr:pic>
      <xdr:nvPicPr>
        <xdr:cNvPr id="3" name="Picture 5" descr="MCC horizontal"/>
        <xdr:cNvPicPr preferRelativeResize="1">
          <a:picLocks noChangeAspect="1"/>
        </xdr:cNvPicPr>
      </xdr:nvPicPr>
      <xdr:blipFill>
        <a:blip r:embed="rId3"/>
        <a:stretch>
          <a:fillRect/>
        </a:stretch>
      </xdr:blipFill>
      <xdr:spPr>
        <a:xfrm>
          <a:off x="7896225" y="200025"/>
          <a:ext cx="2028825"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15</xdr:row>
      <xdr:rowOff>9525</xdr:rowOff>
    </xdr:from>
    <xdr:ext cx="6210300" cy="3609975"/>
    <xdr:graphicFrame>
      <xdr:nvGraphicFramePr>
        <xdr:cNvPr id="1" name="Chart 4"/>
        <xdr:cNvGraphicFramePr/>
      </xdr:nvGraphicFramePr>
      <xdr:xfrm>
        <a:off x="561975" y="3838575"/>
        <a:ext cx="6210300" cy="3609975"/>
      </xdr:xfrm>
      <a:graphic>
        <a:graphicData uri="http://schemas.openxmlformats.org/drawingml/2006/chart">
          <c:chart xmlns:c="http://schemas.openxmlformats.org/drawingml/2006/chart" r:id="rId1"/>
        </a:graphicData>
      </a:graphic>
    </xdr:graphicFrame>
    <xdr:clientData/>
  </xdr:oneCellAnchor>
  <xdr:twoCellAnchor>
    <xdr:from>
      <xdr:col>1</xdr:col>
      <xdr:colOff>38100</xdr:colOff>
      <xdr:row>42</xdr:row>
      <xdr:rowOff>104775</xdr:rowOff>
    </xdr:from>
    <xdr:to>
      <xdr:col>4</xdr:col>
      <xdr:colOff>123825</xdr:colOff>
      <xdr:row>61</xdr:row>
      <xdr:rowOff>66675</xdr:rowOff>
    </xdr:to>
    <xdr:graphicFrame>
      <xdr:nvGraphicFramePr>
        <xdr:cNvPr id="2" name="Chart 5"/>
        <xdr:cNvGraphicFramePr/>
      </xdr:nvGraphicFramePr>
      <xdr:xfrm>
        <a:off x="552450" y="9096375"/>
        <a:ext cx="6200775" cy="358140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133350</xdr:colOff>
      <xdr:row>1</xdr:row>
      <xdr:rowOff>38100</xdr:rowOff>
    </xdr:from>
    <xdr:to>
      <xdr:col>9</xdr:col>
      <xdr:colOff>19050</xdr:colOff>
      <xdr:row>1</xdr:row>
      <xdr:rowOff>180975</xdr:rowOff>
    </xdr:to>
    <xdr:pic>
      <xdr:nvPicPr>
        <xdr:cNvPr id="3" name="Picture 3" descr="MCC horizontal"/>
        <xdr:cNvPicPr preferRelativeResize="1">
          <a:picLocks noChangeAspect="1"/>
        </xdr:cNvPicPr>
      </xdr:nvPicPr>
      <xdr:blipFill>
        <a:blip r:embed="rId3"/>
        <a:stretch>
          <a:fillRect/>
        </a:stretch>
      </xdr:blipFill>
      <xdr:spPr>
        <a:xfrm>
          <a:off x="7981950" y="200025"/>
          <a:ext cx="202882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25</xdr:row>
      <xdr:rowOff>152400</xdr:rowOff>
    </xdr:from>
    <xdr:to>
      <xdr:col>12</xdr:col>
      <xdr:colOff>419100</xdr:colOff>
      <xdr:row>46</xdr:row>
      <xdr:rowOff>152400</xdr:rowOff>
    </xdr:to>
    <xdr:graphicFrame>
      <xdr:nvGraphicFramePr>
        <xdr:cNvPr id="1" name="Chart 1"/>
        <xdr:cNvGraphicFramePr/>
      </xdr:nvGraphicFramePr>
      <xdr:xfrm>
        <a:off x="1428750" y="5019675"/>
        <a:ext cx="6734175" cy="4000500"/>
      </xdr:xfrm>
      <a:graphic>
        <a:graphicData uri="http://schemas.openxmlformats.org/drawingml/2006/chart">
          <c:chart xmlns:c="http://schemas.openxmlformats.org/drawingml/2006/chart" r:id="rId1"/>
        </a:graphicData>
      </a:graphic>
    </xdr:graphicFrame>
    <xdr:clientData/>
  </xdr:twoCellAnchor>
  <xdr:twoCellAnchor editAs="oneCell">
    <xdr:from>
      <xdr:col>13</xdr:col>
      <xdr:colOff>123825</xdr:colOff>
      <xdr:row>1</xdr:row>
      <xdr:rowOff>28575</xdr:rowOff>
    </xdr:from>
    <xdr:to>
      <xdr:col>16</xdr:col>
      <xdr:colOff>9525</xdr:colOff>
      <xdr:row>1</xdr:row>
      <xdr:rowOff>171450</xdr:rowOff>
    </xdr:to>
    <xdr:pic>
      <xdr:nvPicPr>
        <xdr:cNvPr id="2" name="Picture 2" descr="MCC horizontal"/>
        <xdr:cNvPicPr preferRelativeResize="1">
          <a:picLocks noChangeAspect="1"/>
        </xdr:cNvPicPr>
      </xdr:nvPicPr>
      <xdr:blipFill>
        <a:blip r:embed="rId2"/>
        <a:stretch>
          <a:fillRect/>
        </a:stretch>
      </xdr:blipFill>
      <xdr:spPr>
        <a:xfrm>
          <a:off x="8477250" y="190500"/>
          <a:ext cx="171450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1</xdr:row>
      <xdr:rowOff>28575</xdr:rowOff>
    </xdr:from>
    <xdr:to>
      <xdr:col>13</xdr:col>
      <xdr:colOff>9525</xdr:colOff>
      <xdr:row>1</xdr:row>
      <xdr:rowOff>171450</xdr:rowOff>
    </xdr:to>
    <xdr:pic>
      <xdr:nvPicPr>
        <xdr:cNvPr id="1" name="Picture 1" descr="MCC horizontal"/>
        <xdr:cNvPicPr preferRelativeResize="1">
          <a:picLocks noChangeAspect="1"/>
        </xdr:cNvPicPr>
      </xdr:nvPicPr>
      <xdr:blipFill>
        <a:blip r:embed="rId1"/>
        <a:stretch>
          <a:fillRect/>
        </a:stretch>
      </xdr:blipFill>
      <xdr:spPr>
        <a:xfrm>
          <a:off x="8610600" y="190500"/>
          <a:ext cx="1714500"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419100</xdr:colOff>
      <xdr:row>1</xdr:row>
      <xdr:rowOff>57150</xdr:rowOff>
    </xdr:from>
    <xdr:to>
      <xdr:col>15</xdr:col>
      <xdr:colOff>9525</xdr:colOff>
      <xdr:row>1</xdr:row>
      <xdr:rowOff>190500</xdr:rowOff>
    </xdr:to>
    <xdr:pic>
      <xdr:nvPicPr>
        <xdr:cNvPr id="1" name="Picture 1" descr="MCC horizontal"/>
        <xdr:cNvPicPr preferRelativeResize="1">
          <a:picLocks noChangeAspect="1"/>
        </xdr:cNvPicPr>
      </xdr:nvPicPr>
      <xdr:blipFill>
        <a:blip r:embed="rId1"/>
        <a:stretch>
          <a:fillRect/>
        </a:stretch>
      </xdr:blipFill>
      <xdr:spPr>
        <a:xfrm>
          <a:off x="8210550" y="219075"/>
          <a:ext cx="1981200" cy="133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152400</xdr:colOff>
      <xdr:row>1</xdr:row>
      <xdr:rowOff>28575</xdr:rowOff>
    </xdr:from>
    <xdr:to>
      <xdr:col>13</xdr:col>
      <xdr:colOff>19050</xdr:colOff>
      <xdr:row>1</xdr:row>
      <xdr:rowOff>171450</xdr:rowOff>
    </xdr:to>
    <xdr:pic>
      <xdr:nvPicPr>
        <xdr:cNvPr id="1" name="Picture 1" descr="MCC horizontal"/>
        <xdr:cNvPicPr preferRelativeResize="1">
          <a:picLocks noChangeAspect="1"/>
        </xdr:cNvPicPr>
      </xdr:nvPicPr>
      <xdr:blipFill>
        <a:blip r:embed="rId1"/>
        <a:stretch>
          <a:fillRect/>
        </a:stretch>
      </xdr:blipFill>
      <xdr:spPr>
        <a:xfrm>
          <a:off x="8639175" y="190500"/>
          <a:ext cx="169545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renb\Guojia\CapeVerdeII\Water\Analysis\Current\CV_WSH_Institutions_1_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2012%20Web%20Dissemination\EA%20ERR%20template%20for%20us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estikowgs\Local%20Settings\Temporary%20Internet%20Files\Content.Outlook\Z0MPFWC4\Centralized%20ERR%20Data\ERR%20Spreadsheets%20for%20All%20Compact%20Countries\Ghana\Web%20Versions\FeederRoadAnalysis_IM_Clean%20-%20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lestikowgs\Local%20Settings\Temporary%20Internet%20Files\Content.Outlook\Z0MPFWC4\Web%20Dissemination\Ongoing%20Work\Mongolia\Mongolia%20Health%20ERR.IM%20Cleaned%20-%20v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lestikowgs\Local%20Settings\Temporary%20Internet%20Files\Content.Outlook\Z0MPFWC4\Centralized%20ERR%20Data\ERR%20Spreadsheets%20for%20All%20Compact%20Countries\Ghana\Web%20Versions\CoolChainAssessment3_IM_Cle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divisions\Economic%20Analysis\Research\Conditional%20Cash%20Transfers\CCT%20ERR%20and%20BA%20-%20v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Guojia\CapeVerdeII\Water\Analysis\Current\FacilityReturns_0_8_C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 val="Without"/>
      <sheetName val="With"/>
      <sheetName val="CB_DATA_"/>
      <sheetName val="Incremental"/>
      <sheetName val="BA_Data"/>
      <sheetName val="BA_Scorecard"/>
    </sheetNames>
    <sheetDataSet>
      <sheetData sheetId="0">
        <row r="5">
          <cell r="D5">
            <v>258300</v>
          </cell>
        </row>
        <row r="6">
          <cell r="D6">
            <v>0.0153</v>
          </cell>
        </row>
        <row r="13">
          <cell r="D13">
            <v>0.0528159164778883</v>
          </cell>
        </row>
        <row r="14">
          <cell r="D14">
            <v>0.03910174332709526</v>
          </cell>
        </row>
        <row r="16">
          <cell r="D16">
            <v>0.068924</v>
          </cell>
        </row>
        <row r="17">
          <cell r="D17">
            <v>0.055</v>
          </cell>
        </row>
        <row r="26">
          <cell r="D26">
            <v>77</v>
          </cell>
        </row>
        <row r="29">
          <cell r="D29">
            <v>231</v>
          </cell>
          <cell r="E29">
            <v>231</v>
          </cell>
        </row>
        <row r="30">
          <cell r="D30">
            <v>68.82857142857144</v>
          </cell>
          <cell r="E30">
            <v>68.82857142857144</v>
          </cell>
        </row>
        <row r="32">
          <cell r="D32">
            <v>30</v>
          </cell>
        </row>
        <row r="33">
          <cell r="D33">
            <v>0</v>
          </cell>
          <cell r="E33">
            <v>0</v>
          </cell>
        </row>
        <row r="40">
          <cell r="D40">
            <v>0.194</v>
          </cell>
        </row>
        <row r="51">
          <cell r="D51">
            <v>0.2</v>
          </cell>
          <cell r="E51">
            <v>0.1</v>
          </cell>
        </row>
        <row r="52">
          <cell r="D52">
            <v>0.3</v>
          </cell>
          <cell r="E52">
            <v>0.3</v>
          </cell>
        </row>
        <row r="57">
          <cell r="D57">
            <v>221.12328767123287</v>
          </cell>
          <cell r="E57">
            <v>193.15525114155253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Project Description"/>
      <sheetName val="CB_DATA_"/>
      <sheetName val="ERR &amp; Sensitivity Analysis"/>
      <sheetName val="Combined Cost-Benefit"/>
      <sheetName val="OnFarm"/>
      <sheetName val="CoolChain"/>
    </sheetNames>
    <sheetDataSet>
      <sheetData sheetId="5">
        <row r="7">
          <cell r="B7">
            <v>0.3</v>
          </cell>
        </row>
      </sheetData>
      <sheetData sheetId="6">
        <row r="10">
          <cell r="B10">
            <v>0.06</v>
          </cell>
        </row>
        <row r="14">
          <cell r="B14">
            <v>0.06</v>
          </cell>
        </row>
        <row r="15">
          <cell r="B15">
            <v>0.85</v>
          </cell>
        </row>
        <row r="17">
          <cell r="B17">
            <v>15</v>
          </cell>
        </row>
        <row r="18">
          <cell r="B18">
            <v>3400</v>
          </cell>
        </row>
        <row r="25">
          <cell r="C25">
            <v>30</v>
          </cell>
        </row>
        <row r="26">
          <cell r="C26">
            <v>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Project Description"/>
      <sheetName val="CB_DATA_"/>
      <sheetName val="ERR &amp; Sensitivity Analysis"/>
      <sheetName val="AllFeederRoads"/>
      <sheetName val="Gravel"/>
      <sheetName val="Costs"/>
      <sheetName val="Benefits"/>
      <sheetName val="Incremental"/>
    </sheetNames>
    <sheetDataSet>
      <sheetData sheetId="6">
        <row r="8">
          <cell r="C8">
            <v>1200</v>
          </cell>
        </row>
        <row r="9">
          <cell r="C9">
            <v>15000</v>
          </cell>
        </row>
      </sheetData>
      <sheetData sheetId="7">
        <row r="10">
          <cell r="C10">
            <v>0.015</v>
          </cell>
        </row>
        <row r="11">
          <cell r="C11">
            <v>0.03</v>
          </cell>
        </row>
        <row r="12">
          <cell r="C12">
            <v>1</v>
          </cell>
        </row>
        <row r="13">
          <cell r="C13">
            <v>5</v>
          </cell>
        </row>
        <row r="14">
          <cell r="C14">
            <v>10</v>
          </cell>
        </row>
        <row r="15">
          <cell r="C15">
            <v>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 val="Mongolia Health ERR"/>
    </sheetNames>
    <sheetDataSet>
      <sheetData sheetId="5">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6">
        <row r="25">
          <cell r="C25">
            <v>0.2</v>
          </cell>
        </row>
        <row r="26">
          <cell r="C26">
            <v>0.1</v>
          </cell>
        </row>
        <row r="31">
          <cell r="E31">
            <v>0.25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5">
          <cell r="C15">
            <v>75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RR"/>
      <sheetName val="Poverty Scorecard"/>
      <sheetName val="Assumption &amp; Data"/>
      <sheetName val="Sheet3"/>
    </sheetNames>
    <sheetDataSet>
      <sheetData sheetId="2">
        <row r="46">
          <cell r="B46">
            <v>5.833333333333334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B_DATA_"/>
      <sheetName val="Analysis"/>
      <sheetName val="BA_Data"/>
      <sheetName val="BA_Scorecard"/>
      <sheetName val="Sheet3"/>
    </sheetNames>
    <sheetDataSet>
      <sheetData sheetId="1">
        <row r="13">
          <cell r="B13">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racle.com/us/products/applications/crystalball/index.html"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B1:F62"/>
  <sheetViews>
    <sheetView tabSelected="1" zoomScalePageLayoutView="0" workbookViewId="0" topLeftCell="A1">
      <selection activeCell="C10" sqref="C10"/>
    </sheetView>
  </sheetViews>
  <sheetFormatPr defaultColWidth="9.140625" defaultRowHeight="15"/>
  <cols>
    <col min="1" max="1" width="7.7109375" style="127" customWidth="1"/>
    <col min="2" max="2" width="36.7109375" style="127" customWidth="1"/>
    <col min="3" max="3" width="108.7109375" style="127" customWidth="1"/>
    <col min="4" max="5" width="36.7109375" style="127" customWidth="1"/>
    <col min="6" max="16384" width="9.140625" style="127" customWidth="1"/>
  </cols>
  <sheetData>
    <row r="1" spans="3:4" ht="12.75">
      <c r="C1" s="329" t="s">
        <v>420</v>
      </c>
      <c r="D1" s="129"/>
    </row>
    <row r="2" spans="3:5" ht="12.75" customHeight="1">
      <c r="C2" s="364" t="s">
        <v>344</v>
      </c>
      <c r="D2" s="230"/>
      <c r="E2" s="230"/>
    </row>
    <row r="3" spans="3:5" ht="12.75" customHeight="1">
      <c r="C3" s="364"/>
      <c r="D3" s="230"/>
      <c r="E3" s="230"/>
    </row>
    <row r="4" spans="3:5" ht="12.75" customHeight="1">
      <c r="C4" s="364"/>
      <c r="D4" s="230"/>
      <c r="E4" s="230"/>
    </row>
    <row r="5" spans="3:5" ht="12.75" customHeight="1">
      <c r="C5" s="364"/>
      <c r="D5" s="230"/>
      <c r="E5" s="230"/>
    </row>
    <row r="6" spans="3:5" ht="12.75" customHeight="1">
      <c r="C6" s="364"/>
      <c r="D6" s="230"/>
      <c r="E6" s="230"/>
    </row>
    <row r="7" spans="3:5" ht="25.5" customHeight="1">
      <c r="C7" s="362"/>
      <c r="D7" s="362"/>
      <c r="E7" s="362"/>
    </row>
    <row r="8" ht="13.5" thickBot="1"/>
    <row r="9" spans="2:6" s="196" customFormat="1" ht="18" customHeight="1" thickTop="1">
      <c r="B9" s="193" t="s">
        <v>332</v>
      </c>
      <c r="C9" s="194" t="s">
        <v>322</v>
      </c>
      <c r="D9" s="219"/>
      <c r="E9" s="220"/>
      <c r="F9" s="195"/>
    </row>
    <row r="10" spans="2:5" s="196" customFormat="1" ht="18" customHeight="1">
      <c r="B10" s="197" t="s">
        <v>333</v>
      </c>
      <c r="C10" s="330" t="s">
        <v>419</v>
      </c>
      <c r="D10" s="221"/>
      <c r="E10" s="222"/>
    </row>
    <row r="11" spans="2:5" s="196" customFormat="1" ht="18" customHeight="1">
      <c r="B11" s="197" t="s">
        <v>334</v>
      </c>
      <c r="C11" s="331" t="str">
        <f>"$"&amp;'Poverty Scorecard'!C10/1000000&amp;"m "</f>
        <v>$18.75m </v>
      </c>
      <c r="D11" s="223"/>
      <c r="E11" s="224"/>
    </row>
    <row r="12" spans="2:5" ht="76.5" customHeight="1">
      <c r="B12" s="198" t="s">
        <v>335</v>
      </c>
      <c r="C12" s="334" t="s">
        <v>439</v>
      </c>
      <c r="D12" s="225"/>
      <c r="E12" s="226"/>
    </row>
    <row r="13" spans="2:5" ht="12.75">
      <c r="B13" s="357" t="s">
        <v>336</v>
      </c>
      <c r="C13" s="332" t="s">
        <v>391</v>
      </c>
      <c r="D13" s="225"/>
      <c r="E13" s="226"/>
    </row>
    <row r="14" spans="2:5" ht="38.25" customHeight="1">
      <c r="B14" s="358"/>
      <c r="C14" s="333" t="s">
        <v>390</v>
      </c>
      <c r="D14" s="225"/>
      <c r="E14" s="226"/>
    </row>
    <row r="15" spans="2:5" ht="38.25" customHeight="1">
      <c r="B15" s="197" t="s">
        <v>337</v>
      </c>
      <c r="C15" s="335" t="s">
        <v>427</v>
      </c>
      <c r="D15" s="227"/>
      <c r="E15" s="228"/>
    </row>
    <row r="16" spans="2:5" ht="18" customHeight="1" thickBot="1">
      <c r="B16" s="199" t="s">
        <v>338</v>
      </c>
      <c r="C16" s="231" t="s">
        <v>348</v>
      </c>
      <c r="D16" s="229"/>
      <c r="E16" s="200"/>
    </row>
    <row r="17" spans="2:4" ht="18" customHeight="1" thickTop="1">
      <c r="B17" s="200"/>
      <c r="C17" s="249" t="s">
        <v>370</v>
      </c>
      <c r="D17" s="200"/>
    </row>
    <row r="18" spans="2:4" ht="12.75">
      <c r="B18" s="201" t="s">
        <v>339</v>
      </c>
      <c r="C18" s="202"/>
      <c r="D18" s="202"/>
    </row>
    <row r="19" spans="2:5" ht="15">
      <c r="B19" s="243" t="s">
        <v>335</v>
      </c>
      <c r="C19" s="203"/>
      <c r="D19" s="204"/>
      <c r="E19" s="205"/>
    </row>
    <row r="20" spans="2:5" ht="12.75" customHeight="1">
      <c r="B20" s="366" t="s">
        <v>340</v>
      </c>
      <c r="C20" s="366"/>
      <c r="D20" s="246"/>
      <c r="E20" s="246"/>
    </row>
    <row r="21" spans="2:5" ht="12.75">
      <c r="B21" s="202"/>
      <c r="C21" s="202"/>
      <c r="D21" s="204"/>
      <c r="E21" s="205"/>
    </row>
    <row r="22" spans="2:5" s="209" customFormat="1" ht="15">
      <c r="B22" s="244" t="s">
        <v>341</v>
      </c>
      <c r="C22" s="206"/>
      <c r="D22" s="207"/>
      <c r="E22" s="208"/>
    </row>
    <row r="23" spans="2:5" s="209" customFormat="1" ht="25.5" customHeight="1">
      <c r="B23" s="365" t="s">
        <v>350</v>
      </c>
      <c r="C23" s="365"/>
      <c r="D23" s="245"/>
      <c r="E23" s="245"/>
    </row>
    <row r="24" spans="2:5" s="209" customFormat="1" ht="12.75">
      <c r="B24" s="210"/>
      <c r="C24" s="210"/>
      <c r="D24" s="207"/>
      <c r="E24" s="208"/>
    </row>
    <row r="25" spans="2:5" s="209" customFormat="1" ht="15">
      <c r="B25" s="247" t="s">
        <v>347</v>
      </c>
      <c r="C25" s="211"/>
      <c r="D25" s="207"/>
      <c r="E25" s="208"/>
    </row>
    <row r="26" spans="2:5" s="209" customFormat="1" ht="12.75">
      <c r="B26" s="363" t="s">
        <v>342</v>
      </c>
      <c r="C26" s="363"/>
      <c r="D26" s="363"/>
      <c r="E26" s="363"/>
    </row>
    <row r="27" s="209" customFormat="1" ht="12.75"/>
    <row r="28" spans="2:5" s="209" customFormat="1" ht="15">
      <c r="B28" s="248" t="s">
        <v>395</v>
      </c>
      <c r="C28" s="212"/>
      <c r="D28" s="207"/>
      <c r="E28" s="208"/>
    </row>
    <row r="29" spans="2:5" s="209" customFormat="1" ht="12.75">
      <c r="B29" s="363" t="s">
        <v>346</v>
      </c>
      <c r="C29" s="363"/>
      <c r="D29" s="363"/>
      <c r="E29" s="363"/>
    </row>
    <row r="30" spans="2:5" s="209" customFormat="1" ht="12.75">
      <c r="B30" s="210"/>
      <c r="C30" s="210"/>
      <c r="D30" s="207"/>
      <c r="E30" s="208"/>
    </row>
    <row r="31" spans="2:5" s="209" customFormat="1" ht="15">
      <c r="B31" s="247" t="s">
        <v>349</v>
      </c>
      <c r="C31" s="211"/>
      <c r="D31" s="207"/>
      <c r="E31" s="208"/>
    </row>
    <row r="32" spans="2:5" s="209" customFormat="1" ht="12.75">
      <c r="B32" s="363" t="s">
        <v>360</v>
      </c>
      <c r="C32" s="363"/>
      <c r="D32" s="363"/>
      <c r="E32" s="363"/>
    </row>
    <row r="33" spans="2:5" s="209" customFormat="1" ht="12.75">
      <c r="B33" s="359"/>
      <c r="C33" s="359"/>
      <c r="D33" s="359"/>
      <c r="E33" s="359"/>
    </row>
    <row r="34" spans="2:5" s="209" customFormat="1" ht="15">
      <c r="B34" s="250" t="s">
        <v>351</v>
      </c>
      <c r="C34" s="213"/>
      <c r="D34" s="213"/>
      <c r="E34" s="213"/>
    </row>
    <row r="35" spans="2:5" s="209" customFormat="1" ht="12.75">
      <c r="B35" s="359" t="s">
        <v>361</v>
      </c>
      <c r="C35" s="359"/>
      <c r="D35" s="213"/>
      <c r="E35" s="213"/>
    </row>
    <row r="36" spans="2:5" s="209" customFormat="1" ht="12.75">
      <c r="B36" s="213"/>
      <c r="C36" s="213"/>
      <c r="D36" s="213"/>
      <c r="E36" s="213"/>
    </row>
    <row r="37" spans="2:5" s="209" customFormat="1" ht="15">
      <c r="B37" s="367" t="s">
        <v>352</v>
      </c>
      <c r="C37" s="367"/>
      <c r="D37" s="367"/>
      <c r="E37" s="367"/>
    </row>
    <row r="38" spans="2:5" s="209" customFormat="1" ht="12.75">
      <c r="B38" s="359" t="s">
        <v>362</v>
      </c>
      <c r="C38" s="359"/>
      <c r="D38" s="214"/>
      <c r="E38" s="214"/>
    </row>
    <row r="39" spans="2:5" s="209" customFormat="1" ht="12.75">
      <c r="B39" s="359"/>
      <c r="C39" s="359"/>
      <c r="D39" s="359"/>
      <c r="E39" s="359"/>
    </row>
    <row r="40" spans="2:5" s="209" customFormat="1" ht="15">
      <c r="B40" s="250" t="s">
        <v>353</v>
      </c>
      <c r="C40" s="213"/>
      <c r="D40" s="213"/>
      <c r="E40" s="213"/>
    </row>
    <row r="41" spans="2:5" s="209" customFormat="1" ht="12.75">
      <c r="B41" s="359" t="s">
        <v>363</v>
      </c>
      <c r="C41" s="359"/>
      <c r="D41" s="213"/>
      <c r="E41" s="213"/>
    </row>
    <row r="42" spans="2:5" s="209" customFormat="1" ht="12.75">
      <c r="B42" s="215"/>
      <c r="C42" s="211"/>
      <c r="D42" s="207"/>
      <c r="E42" s="208"/>
    </row>
    <row r="43" spans="2:5" s="209" customFormat="1" ht="15">
      <c r="B43" s="250" t="s">
        <v>354</v>
      </c>
      <c r="C43" s="213"/>
      <c r="D43" s="213"/>
      <c r="E43" s="213"/>
    </row>
    <row r="44" spans="2:5" s="209" customFormat="1" ht="12.75">
      <c r="B44" s="359" t="s">
        <v>364</v>
      </c>
      <c r="C44" s="359"/>
      <c r="D44" s="213"/>
      <c r="E44" s="213"/>
    </row>
    <row r="45" s="209" customFormat="1" ht="12.75"/>
    <row r="46" spans="2:5" s="209" customFormat="1" ht="15">
      <c r="B46" s="251" t="s">
        <v>355</v>
      </c>
      <c r="C46" s="211"/>
      <c r="D46" s="207"/>
      <c r="E46" s="208"/>
    </row>
    <row r="47" spans="2:5" s="209" customFormat="1" ht="12.75">
      <c r="B47" s="359" t="s">
        <v>365</v>
      </c>
      <c r="C47" s="359"/>
      <c r="D47" s="207"/>
      <c r="E47" s="208"/>
    </row>
    <row r="48" spans="2:5" s="209" customFormat="1" ht="12.75">
      <c r="B48" s="213"/>
      <c r="C48" s="213"/>
      <c r="D48" s="213"/>
      <c r="E48" s="213"/>
    </row>
    <row r="49" spans="2:5" s="209" customFormat="1" ht="15">
      <c r="B49" s="252" t="s">
        <v>356</v>
      </c>
      <c r="C49" s="217"/>
      <c r="D49" s="217"/>
      <c r="E49" s="218"/>
    </row>
    <row r="50" spans="2:5" s="209" customFormat="1" ht="12.75">
      <c r="B50" s="359" t="s">
        <v>366</v>
      </c>
      <c r="C50" s="359"/>
      <c r="D50" s="217"/>
      <c r="E50" s="218"/>
    </row>
    <row r="51" spans="2:5" s="209" customFormat="1" ht="12.75">
      <c r="B51" s="216"/>
      <c r="C51" s="217"/>
      <c r="D51" s="217"/>
      <c r="E51" s="218"/>
    </row>
    <row r="52" spans="2:5" s="209" customFormat="1" ht="15">
      <c r="B52" s="252" t="s">
        <v>357</v>
      </c>
      <c r="C52" s="217"/>
      <c r="D52" s="217"/>
      <c r="E52" s="218"/>
    </row>
    <row r="53" spans="2:5" s="209" customFormat="1" ht="12.75">
      <c r="B53" s="360" t="s">
        <v>368</v>
      </c>
      <c r="C53" s="360"/>
      <c r="D53" s="217"/>
      <c r="E53" s="218"/>
    </row>
    <row r="54" spans="2:5" s="209" customFormat="1" ht="12.75">
      <c r="B54" s="216"/>
      <c r="C54" s="217"/>
      <c r="D54" s="217"/>
      <c r="E54" s="218"/>
    </row>
    <row r="55" spans="2:5" s="209" customFormat="1" ht="15">
      <c r="B55" s="252" t="s">
        <v>358</v>
      </c>
      <c r="C55" s="217"/>
      <c r="D55" s="217"/>
      <c r="E55" s="218"/>
    </row>
    <row r="56" spans="2:5" s="209" customFormat="1" ht="12.75">
      <c r="B56" s="361" t="s">
        <v>367</v>
      </c>
      <c r="C56" s="361"/>
      <c r="D56" s="217"/>
      <c r="E56" s="218"/>
    </row>
    <row r="57" spans="2:5" s="209" customFormat="1" ht="12.75">
      <c r="B57" s="216"/>
      <c r="C57" s="217"/>
      <c r="D57" s="217"/>
      <c r="E57" s="218"/>
    </row>
    <row r="58" spans="2:5" s="209" customFormat="1" ht="15">
      <c r="B58" s="252" t="s">
        <v>359</v>
      </c>
      <c r="C58" s="217"/>
      <c r="D58" s="217"/>
      <c r="E58" s="218"/>
    </row>
    <row r="59" spans="2:5" s="209" customFormat="1" ht="12.75">
      <c r="B59" s="361" t="s">
        <v>369</v>
      </c>
      <c r="C59" s="361"/>
      <c r="D59" s="217"/>
      <c r="E59" s="218"/>
    </row>
    <row r="60" spans="2:5" s="209" customFormat="1" ht="12.75">
      <c r="B60" s="216"/>
      <c r="C60" s="217"/>
      <c r="D60" s="217"/>
      <c r="E60" s="218"/>
    </row>
    <row r="61" spans="2:5" ht="15">
      <c r="B61" s="247" t="s">
        <v>156</v>
      </c>
      <c r="C61" s="211"/>
      <c r="D61" s="207"/>
      <c r="E61" s="208"/>
    </row>
    <row r="62" spans="2:5" ht="12.75">
      <c r="B62" s="359" t="s">
        <v>343</v>
      </c>
      <c r="C62" s="359"/>
      <c r="D62" s="359"/>
      <c r="E62" s="359"/>
    </row>
  </sheetData>
  <sheetProtection/>
  <mergeCells count="21">
    <mergeCell ref="B62:E62"/>
    <mergeCell ref="C7:E7"/>
    <mergeCell ref="B26:E26"/>
    <mergeCell ref="B29:E29"/>
    <mergeCell ref="C2:C6"/>
    <mergeCell ref="B23:C23"/>
    <mergeCell ref="B20:C20"/>
    <mergeCell ref="B32:E32"/>
    <mergeCell ref="B35:C35"/>
    <mergeCell ref="B38:C38"/>
    <mergeCell ref="B41:C41"/>
    <mergeCell ref="B44:C44"/>
    <mergeCell ref="B47:C47"/>
    <mergeCell ref="B33:E33"/>
    <mergeCell ref="B37:E37"/>
    <mergeCell ref="B39:E39"/>
    <mergeCell ref="B13:B14"/>
    <mergeCell ref="B50:C50"/>
    <mergeCell ref="B53:C53"/>
    <mergeCell ref="B56:C56"/>
    <mergeCell ref="B59:C59"/>
  </mergeCells>
  <hyperlinks>
    <hyperlink ref="B22" location="'ERR &amp; Sensitivity Analysis'!A1" display="ERR &amp; Sensitivity Analysis"/>
    <hyperlink ref="B28" location="'Combined-Prob Distributions'!A1" display="Combined-Prob Distributions"/>
    <hyperlink ref="B19" location="'Project Description'!A1" display="Project Description"/>
    <hyperlink ref="B25" location="'Aggregate Cost-Benefit Summary'!A1" display="Aggregate Cost-Benefit Summary"/>
    <hyperlink ref="B61" location="'Poverty Scorecard'!A1" display="Poverty Scorecard"/>
    <hyperlink ref="B31" location="Indicators!A1" display="Indicators"/>
    <hyperlink ref="B34" location="AnalysisSVic!A1" display="AnalysisSvic"/>
    <hyperlink ref="B37:E37" location="SVicData!A1" display="SVicData"/>
    <hyperlink ref="B40" location="AnalysisSal!A1" display="AnalysisSal"/>
    <hyperlink ref="B43" location="SalData!A1" display="SalData"/>
    <hyperlink ref="B46" location="AnalysisBV!A1" display="AnalysisBV"/>
    <hyperlink ref="B49" location="BoaVistaData!A1" display="BoaVistaData"/>
    <hyperlink ref="B52" location="Parameters!A1" display="Parameters"/>
    <hyperlink ref="B55" location="BA_Data!A1" display="BA_Data"/>
    <hyperlink ref="B58" location="BA_Data_Simulation!A1" display="BA_Data_Simulation"/>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AU80"/>
  <sheetViews>
    <sheetView zoomScalePageLayoutView="0" workbookViewId="0" topLeftCell="A1">
      <selection activeCell="A1" sqref="A1"/>
    </sheetView>
  </sheetViews>
  <sheetFormatPr defaultColWidth="9.140625" defaultRowHeight="15"/>
  <cols>
    <col min="1" max="1" width="7.7109375" style="0" customWidth="1"/>
    <col min="7" max="7" width="13.7109375" style="0" customWidth="1"/>
    <col min="8" max="8" width="12.8515625" style="0" customWidth="1"/>
    <col min="9" max="9" width="12.57421875" style="0" customWidth="1"/>
    <col min="11" max="11" width="3.7109375" style="0" customWidth="1"/>
    <col min="15" max="15" width="13.421875" style="0" bestFit="1" customWidth="1"/>
    <col min="16" max="16" width="12.7109375" style="0" customWidth="1"/>
    <col min="20" max="20" width="19.7109375" style="0" customWidth="1"/>
  </cols>
  <sheetData>
    <row r="1" spans="2:15" s="127" customFormat="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382"/>
      <c r="J1" s="382"/>
      <c r="K1" s="296"/>
      <c r="L1" s="296"/>
      <c r="O1" s="242" t="str">
        <f>'User''s Guide'!C1</f>
        <v>Last  Updated : 'September 2011</v>
      </c>
    </row>
    <row r="2" spans="1:7" s="133" customFormat="1" ht="20.25">
      <c r="A2" s="130"/>
      <c r="B2" s="131" t="s">
        <v>432</v>
      </c>
      <c r="C2" s="130"/>
      <c r="D2" s="130"/>
      <c r="E2" s="130"/>
      <c r="F2" s="130"/>
      <c r="G2" s="132"/>
    </row>
    <row r="3" spans="1:7" s="133" customFormat="1" ht="20.25" customHeight="1">
      <c r="A3" s="130"/>
      <c r="B3" s="134"/>
      <c r="C3" s="130"/>
      <c r="D3" s="130"/>
      <c r="E3" s="130"/>
      <c r="F3" s="130"/>
      <c r="G3" s="130"/>
    </row>
    <row r="4" ht="15">
      <c r="B4" s="12" t="s">
        <v>75</v>
      </c>
    </row>
    <row r="5" ht="15">
      <c r="B5" s="12" t="s">
        <v>23</v>
      </c>
    </row>
    <row r="7" spans="2:18" ht="15">
      <c r="B7" s="300" t="s">
        <v>12</v>
      </c>
      <c r="D7" s="12"/>
      <c r="E7" s="12"/>
      <c r="F7" s="12"/>
      <c r="G7" s="12"/>
      <c r="H7" s="12"/>
      <c r="I7" s="12"/>
      <c r="J7" s="12"/>
      <c r="K7" s="12"/>
      <c r="L7" s="12"/>
      <c r="M7" s="12"/>
      <c r="N7" s="12"/>
      <c r="O7" s="12"/>
      <c r="P7" s="12"/>
      <c r="Q7" s="12"/>
      <c r="R7" s="12"/>
    </row>
    <row r="8" spans="4:18" ht="15">
      <c r="D8" s="12" t="s">
        <v>13</v>
      </c>
      <c r="E8" s="12"/>
      <c r="F8" s="12"/>
      <c r="G8" s="12"/>
      <c r="H8" s="12"/>
      <c r="I8" s="12"/>
      <c r="J8" s="12"/>
      <c r="K8" s="12"/>
      <c r="L8" s="12"/>
      <c r="M8" s="12"/>
      <c r="N8" s="12"/>
      <c r="O8" s="12"/>
      <c r="P8" s="12"/>
      <c r="Q8" s="12"/>
      <c r="R8" s="12"/>
    </row>
    <row r="9" spans="4:30" ht="15">
      <c r="D9" s="12" t="s">
        <v>0</v>
      </c>
      <c r="E9" s="12"/>
      <c r="F9" s="12"/>
      <c r="G9" s="12"/>
      <c r="H9" s="12"/>
      <c r="I9" s="12"/>
      <c r="J9" s="12"/>
      <c r="K9" s="12"/>
      <c r="L9" s="12"/>
      <c r="M9" s="12"/>
      <c r="N9" s="12"/>
      <c r="O9" s="12"/>
      <c r="P9" s="12"/>
      <c r="Q9" s="12"/>
      <c r="R9" s="12"/>
      <c r="AC9" s="6"/>
      <c r="AD9" s="6"/>
    </row>
    <row r="10" spans="4:26" ht="45">
      <c r="D10" s="301" t="s">
        <v>1</v>
      </c>
      <c r="E10" s="301" t="s">
        <v>3</v>
      </c>
      <c r="F10" s="301" t="s">
        <v>4</v>
      </c>
      <c r="G10" s="301" t="s">
        <v>2</v>
      </c>
      <c r="H10" s="301" t="s">
        <v>5</v>
      </c>
      <c r="I10" s="301" t="s">
        <v>6</v>
      </c>
      <c r="J10" s="301" t="s">
        <v>7</v>
      </c>
      <c r="K10" s="12"/>
      <c r="L10" s="301" t="s">
        <v>1</v>
      </c>
      <c r="M10" s="301" t="s">
        <v>3</v>
      </c>
      <c r="N10" s="301" t="s">
        <v>4</v>
      </c>
      <c r="O10" s="301" t="s">
        <v>2</v>
      </c>
      <c r="P10" s="301" t="s">
        <v>5</v>
      </c>
      <c r="Q10" s="301" t="s">
        <v>6</v>
      </c>
      <c r="R10" s="301" t="s">
        <v>7</v>
      </c>
      <c r="Z10" t="s">
        <v>100</v>
      </c>
    </row>
    <row r="11" spans="4:26" ht="45">
      <c r="D11" s="301" t="s">
        <v>396</v>
      </c>
      <c r="E11" s="301" t="s">
        <v>423</v>
      </c>
      <c r="F11" s="301" t="s">
        <v>398</v>
      </c>
      <c r="G11" s="301" t="s">
        <v>399</v>
      </c>
      <c r="H11" s="301" t="s">
        <v>400</v>
      </c>
      <c r="I11" s="301" t="s">
        <v>401</v>
      </c>
      <c r="J11" s="301" t="s">
        <v>7</v>
      </c>
      <c r="L11" s="301" t="s">
        <v>396</v>
      </c>
      <c r="M11" s="301" t="s">
        <v>423</v>
      </c>
      <c r="N11" s="301" t="s">
        <v>398</v>
      </c>
      <c r="O11" s="301" t="s">
        <v>399</v>
      </c>
      <c r="P11" s="301" t="s">
        <v>400</v>
      </c>
      <c r="Q11" s="301" t="s">
        <v>401</v>
      </c>
      <c r="R11" s="301"/>
      <c r="Z11" t="s">
        <v>100</v>
      </c>
    </row>
    <row r="12" spans="4:47" ht="15">
      <c r="D12" s="12" t="s">
        <v>8</v>
      </c>
      <c r="E12" s="12" t="s">
        <v>8</v>
      </c>
      <c r="F12" s="12" t="s">
        <v>8</v>
      </c>
      <c r="G12" s="12" t="s">
        <v>9</v>
      </c>
      <c r="H12" s="12" t="s">
        <v>10</v>
      </c>
      <c r="I12" s="12" t="s">
        <v>11</v>
      </c>
      <c r="J12" s="12" t="s">
        <v>8</v>
      </c>
      <c r="K12" s="12"/>
      <c r="L12" s="12"/>
      <c r="M12" s="12"/>
      <c r="N12" s="12"/>
      <c r="O12" s="12"/>
      <c r="P12" s="12"/>
      <c r="Q12" s="12"/>
      <c r="R12" s="12"/>
      <c r="U12" s="12"/>
      <c r="V12" s="12"/>
      <c r="W12" s="12">
        <v>0</v>
      </c>
      <c r="X12" s="12">
        <v>1</v>
      </c>
      <c r="Y12" s="12">
        <v>2</v>
      </c>
      <c r="Z12" s="12">
        <v>3</v>
      </c>
      <c r="AA12" s="12">
        <v>4</v>
      </c>
      <c r="AB12" s="12">
        <v>5</v>
      </c>
      <c r="AC12" s="12">
        <v>6</v>
      </c>
      <c r="AD12" s="12">
        <v>7</v>
      </c>
      <c r="AE12" s="12">
        <v>8</v>
      </c>
      <c r="AF12" s="12">
        <v>9</v>
      </c>
      <c r="AG12" s="12">
        <v>10</v>
      </c>
      <c r="AH12" s="12">
        <v>11</v>
      </c>
      <c r="AI12" s="12">
        <v>12</v>
      </c>
      <c r="AJ12" s="12">
        <v>13</v>
      </c>
      <c r="AK12" s="12">
        <v>14</v>
      </c>
      <c r="AL12" s="12">
        <v>15</v>
      </c>
      <c r="AM12" s="12">
        <v>16</v>
      </c>
      <c r="AN12" s="12">
        <v>17</v>
      </c>
      <c r="AO12" s="12">
        <v>18</v>
      </c>
      <c r="AP12" s="12">
        <v>19</v>
      </c>
      <c r="AQ12" s="12">
        <v>20</v>
      </c>
      <c r="AR12" s="12">
        <v>21</v>
      </c>
      <c r="AS12" s="12">
        <v>22</v>
      </c>
      <c r="AT12" s="12">
        <v>23</v>
      </c>
      <c r="AU12" s="12">
        <v>24</v>
      </c>
    </row>
    <row r="13" spans="3:47" ht="15">
      <c r="C13">
        <v>2000</v>
      </c>
      <c r="D13" s="303">
        <v>2225</v>
      </c>
      <c r="E13" s="303">
        <v>94</v>
      </c>
      <c r="F13" s="303">
        <v>67</v>
      </c>
      <c r="G13" s="303">
        <v>48</v>
      </c>
      <c r="H13" s="303"/>
      <c r="I13" s="303">
        <v>72</v>
      </c>
      <c r="J13" s="302">
        <f>SUM(D13:I13)</f>
        <v>2506</v>
      </c>
      <c r="L13" s="305">
        <f>D13/$J13</f>
        <v>0.8878691141260974</v>
      </c>
      <c r="M13" s="305">
        <f>E13/$J13</f>
        <v>0.03750997605746209</v>
      </c>
      <c r="N13" s="305">
        <f aca="true" t="shared" si="0" ref="N13:Q23">F13/$J13</f>
        <v>0.026735833998403832</v>
      </c>
      <c r="O13" s="305">
        <f t="shared" si="0"/>
        <v>0.019154030327214685</v>
      </c>
      <c r="P13" s="305">
        <f t="shared" si="0"/>
        <v>0</v>
      </c>
      <c r="Q13" s="305">
        <f t="shared" si="0"/>
        <v>0.028731045490822026</v>
      </c>
      <c r="T13" t="s">
        <v>74</v>
      </c>
      <c r="U13" s="12">
        <v>2009</v>
      </c>
      <c r="V13" s="12">
        <v>2010</v>
      </c>
      <c r="W13" s="12">
        <v>2011</v>
      </c>
      <c r="X13" s="12">
        <v>2012</v>
      </c>
      <c r="Y13" s="12">
        <v>2013</v>
      </c>
      <c r="Z13" s="310">
        <v>2014</v>
      </c>
      <c r="AA13" s="12">
        <v>2015</v>
      </c>
      <c r="AB13" s="12">
        <v>2016</v>
      </c>
      <c r="AC13" s="12">
        <v>2017</v>
      </c>
      <c r="AD13" s="12">
        <v>2018</v>
      </c>
      <c r="AE13" s="12">
        <v>2019</v>
      </c>
      <c r="AF13" s="12">
        <v>2020</v>
      </c>
      <c r="AG13" s="12">
        <v>2021</v>
      </c>
      <c r="AH13" s="12">
        <v>2022</v>
      </c>
      <c r="AI13" s="12">
        <v>2023</v>
      </c>
      <c r="AJ13" s="12">
        <v>2024</v>
      </c>
      <c r="AK13" s="12">
        <v>2025</v>
      </c>
      <c r="AL13" s="12">
        <v>2026</v>
      </c>
      <c r="AM13" s="12">
        <v>2027</v>
      </c>
      <c r="AN13" s="12">
        <v>2028</v>
      </c>
      <c r="AO13" s="12">
        <v>2029</v>
      </c>
      <c r="AP13" s="12">
        <v>2030</v>
      </c>
      <c r="AQ13" s="12">
        <v>2031</v>
      </c>
      <c r="AR13" s="12">
        <v>2032</v>
      </c>
      <c r="AS13" s="12">
        <v>2033</v>
      </c>
      <c r="AT13" s="12">
        <v>2034</v>
      </c>
      <c r="AU13" s="12">
        <v>2035</v>
      </c>
    </row>
    <row r="14" spans="3:47" ht="15">
      <c r="C14">
        <v>2001</v>
      </c>
      <c r="D14" s="303">
        <v>2306</v>
      </c>
      <c r="E14" s="303"/>
      <c r="F14" s="303">
        <v>63</v>
      </c>
      <c r="G14" s="303">
        <v>48</v>
      </c>
      <c r="H14" s="303"/>
      <c r="I14" s="303">
        <v>133</v>
      </c>
      <c r="J14" s="302">
        <f aca="true" t="shared" si="1" ref="J14:J23">SUM(D14:I14)</f>
        <v>2550</v>
      </c>
      <c r="L14" s="305">
        <f aca="true" t="shared" si="2" ref="L14:M23">D14/$J14</f>
        <v>0.9043137254901961</v>
      </c>
      <c r="M14" s="305">
        <f t="shared" si="2"/>
        <v>0</v>
      </c>
      <c r="N14" s="305">
        <f t="shared" si="0"/>
        <v>0.024705882352941175</v>
      </c>
      <c r="O14" s="305">
        <f t="shared" si="0"/>
        <v>0.018823529411764704</v>
      </c>
      <c r="P14" s="305">
        <f t="shared" si="0"/>
        <v>0</v>
      </c>
      <c r="Q14" s="305">
        <f t="shared" si="0"/>
        <v>0.05215686274509804</v>
      </c>
      <c r="T14" s="1" t="s">
        <v>95</v>
      </c>
      <c r="V14">
        <v>5872</v>
      </c>
      <c r="W14" s="4">
        <f aca="true" t="shared" si="3" ref="W14:AB14">V14*(1+SalTourHotelGrowth)</f>
        <v>6394.608</v>
      </c>
      <c r="X14" s="4">
        <f t="shared" si="3"/>
        <v>6963.728112</v>
      </c>
      <c r="Y14" s="4">
        <f t="shared" si="3"/>
        <v>7583.499913967999</v>
      </c>
      <c r="Z14" s="4">
        <f t="shared" si="3"/>
        <v>8258.43140631115</v>
      </c>
      <c r="AA14" s="4">
        <f t="shared" si="3"/>
        <v>8993.431801472843</v>
      </c>
      <c r="AB14" s="4">
        <f t="shared" si="3"/>
        <v>9793.847231803926</v>
      </c>
      <c r="AC14" s="4">
        <f aca="true" t="shared" si="4" ref="AC14:AU14">AB14*(1+TourGrowthLong)</f>
        <v>10283.539593394122</v>
      </c>
      <c r="AD14" s="4">
        <f t="shared" si="4"/>
        <v>10797.716573063828</v>
      </c>
      <c r="AE14" s="4">
        <f t="shared" si="4"/>
        <v>11337.60240171702</v>
      </c>
      <c r="AF14" s="4">
        <f t="shared" si="4"/>
        <v>11904.48252180287</v>
      </c>
      <c r="AG14" s="4">
        <f t="shared" si="4"/>
        <v>12499.706647893016</v>
      </c>
      <c r="AH14" s="4">
        <f t="shared" si="4"/>
        <v>13124.691980287667</v>
      </c>
      <c r="AI14" s="4">
        <f t="shared" si="4"/>
        <v>13780.926579302051</v>
      </c>
      <c r="AJ14" s="4">
        <f t="shared" si="4"/>
        <v>14469.972908267155</v>
      </c>
      <c r="AK14" s="4">
        <f t="shared" si="4"/>
        <v>15193.471553680512</v>
      </c>
      <c r="AL14" s="4">
        <f t="shared" si="4"/>
        <v>15953.14513136454</v>
      </c>
      <c r="AM14" s="4">
        <f t="shared" si="4"/>
        <v>16750.802387932767</v>
      </c>
      <c r="AN14" s="4">
        <f t="shared" si="4"/>
        <v>17588.342507329406</v>
      </c>
      <c r="AO14" s="4">
        <f t="shared" si="4"/>
        <v>18467.759632695877</v>
      </c>
      <c r="AP14" s="4">
        <f t="shared" si="4"/>
        <v>19391.14761433067</v>
      </c>
      <c r="AQ14" s="4">
        <f t="shared" si="4"/>
        <v>20360.704995047206</v>
      </c>
      <c r="AR14" s="4">
        <f t="shared" si="4"/>
        <v>21378.740244799566</v>
      </c>
      <c r="AS14" s="4">
        <f t="shared" si="4"/>
        <v>22447.677257039544</v>
      </c>
      <c r="AT14" s="4">
        <f t="shared" si="4"/>
        <v>23570.06111989152</v>
      </c>
      <c r="AU14" s="4">
        <f t="shared" si="4"/>
        <v>24748.5641758861</v>
      </c>
    </row>
    <row r="15" spans="3:47" ht="15">
      <c r="C15">
        <v>2002</v>
      </c>
      <c r="D15" s="303"/>
      <c r="E15" s="303"/>
      <c r="F15" s="303"/>
      <c r="G15" s="303"/>
      <c r="H15" s="303"/>
      <c r="I15" s="303"/>
      <c r="J15" s="302">
        <f t="shared" si="1"/>
        <v>0</v>
      </c>
      <c r="L15" s="305"/>
      <c r="M15" s="305"/>
      <c r="N15" s="305"/>
      <c r="O15" s="305"/>
      <c r="P15" s="305"/>
      <c r="Q15" s="305"/>
      <c r="T15" s="1" t="s">
        <v>96</v>
      </c>
      <c r="W15" s="4">
        <f>W14-V14</f>
        <v>522.6080000000002</v>
      </c>
      <c r="X15" s="4">
        <f aca="true" t="shared" si="5" ref="X15:AS15">X14-W14</f>
        <v>569.1201119999996</v>
      </c>
      <c r="Y15" s="4">
        <f t="shared" si="5"/>
        <v>619.7718019679996</v>
      </c>
      <c r="Z15" s="4">
        <f t="shared" si="5"/>
        <v>674.9314923431511</v>
      </c>
      <c r="AA15" s="4">
        <f t="shared" si="5"/>
        <v>735.0003951616927</v>
      </c>
      <c r="AB15" s="4">
        <f t="shared" si="5"/>
        <v>800.4154303310825</v>
      </c>
      <c r="AC15" s="4">
        <f t="shared" si="5"/>
        <v>489.692361590196</v>
      </c>
      <c r="AD15" s="4">
        <f t="shared" si="5"/>
        <v>514.1769796697063</v>
      </c>
      <c r="AE15" s="4">
        <f t="shared" si="5"/>
        <v>539.8858286531922</v>
      </c>
      <c r="AF15" s="4">
        <f t="shared" si="5"/>
        <v>566.8801200858506</v>
      </c>
      <c r="AG15" s="4">
        <f t="shared" si="5"/>
        <v>595.2241260901446</v>
      </c>
      <c r="AH15" s="4">
        <f t="shared" si="5"/>
        <v>624.9853323946518</v>
      </c>
      <c r="AI15" s="4">
        <f t="shared" si="5"/>
        <v>656.234599014384</v>
      </c>
      <c r="AJ15" s="4">
        <f t="shared" si="5"/>
        <v>689.0463289651034</v>
      </c>
      <c r="AK15" s="4">
        <f t="shared" si="5"/>
        <v>723.4986454133577</v>
      </c>
      <c r="AL15" s="4">
        <f t="shared" si="5"/>
        <v>759.6735776840269</v>
      </c>
      <c r="AM15" s="4">
        <f t="shared" si="5"/>
        <v>797.6572565682272</v>
      </c>
      <c r="AN15" s="4">
        <f t="shared" si="5"/>
        <v>837.540119396639</v>
      </c>
      <c r="AO15" s="4">
        <f t="shared" si="5"/>
        <v>879.4171253664717</v>
      </c>
      <c r="AP15" s="4">
        <f t="shared" si="5"/>
        <v>923.3879816347944</v>
      </c>
      <c r="AQ15" s="4">
        <f t="shared" si="5"/>
        <v>969.5573807165347</v>
      </c>
      <c r="AR15" s="4">
        <f t="shared" si="5"/>
        <v>1018.03524975236</v>
      </c>
      <c r="AS15" s="4">
        <f t="shared" si="5"/>
        <v>1068.9370122399778</v>
      </c>
      <c r="AT15" s="4">
        <f>AT14-AS14</f>
        <v>1122.383862851977</v>
      </c>
      <c r="AU15" s="4">
        <f>AU14-AT14</f>
        <v>1178.5030559945772</v>
      </c>
    </row>
    <row r="16" spans="3:45" ht="15">
      <c r="C16">
        <v>2003</v>
      </c>
      <c r="D16" s="303">
        <v>2990</v>
      </c>
      <c r="E16" s="303">
        <v>106</v>
      </c>
      <c r="F16" s="303"/>
      <c r="G16" s="303">
        <v>83</v>
      </c>
      <c r="H16" s="303">
        <v>121</v>
      </c>
      <c r="I16" s="303">
        <v>105</v>
      </c>
      <c r="J16" s="302">
        <f>SUM(D16:I16)</f>
        <v>3405</v>
      </c>
      <c r="L16" s="305">
        <f t="shared" si="2"/>
        <v>0.8781204111600588</v>
      </c>
      <c r="M16" s="305">
        <f t="shared" si="2"/>
        <v>0.031130690161527166</v>
      </c>
      <c r="N16" s="305">
        <f t="shared" si="0"/>
        <v>0</v>
      </c>
      <c r="O16" s="305">
        <f t="shared" si="0"/>
        <v>0.024375917767988253</v>
      </c>
      <c r="P16" s="305">
        <f t="shared" si="0"/>
        <v>0.035535976505139504</v>
      </c>
      <c r="Q16" s="305">
        <f t="shared" si="0"/>
        <v>0.030837004405286344</v>
      </c>
      <c r="T16" s="1" t="s">
        <v>97</v>
      </c>
      <c r="W16" s="4">
        <f>W15</f>
        <v>522.6080000000002</v>
      </c>
      <c r="X16" s="4">
        <f>X15</f>
        <v>569.1201119999996</v>
      </c>
      <c r="Y16" s="4">
        <f>Y15</f>
        <v>619.7718019679996</v>
      </c>
      <c r="Z16" s="4">
        <f>Z15</f>
        <v>674.9314923431511</v>
      </c>
      <c r="AA16" s="4">
        <f>AA15</f>
        <v>735.0003951616927</v>
      </c>
      <c r="AB16" s="306">
        <f>AB15+AD15*(RegTimeReduced-12)/12</f>
        <v>1314.5924100007887</v>
      </c>
      <c r="AC16" s="4">
        <f>IF(RegTimeReduced=12,AC15+AD15,IF(AND((RegTimeReduced-12)/12&lt;1,(RegTimeReduced-12)/12&gt;0),(1-(RegTimeReduced-12)/12)*AD15+(RegTimeReduced-12)/12*AE15,AE15))</f>
        <v>539.8858286531922</v>
      </c>
      <c r="AD16" s="4">
        <f aca="true" t="shared" si="6" ref="AD16:AS16">IF(RegTimeReduced=12,AE15,IF(AND((RegTimeReduced-12)/12&lt;1,(RegTimeReduced-12)/12&gt;0),(1-(RegTimeReduced-12)/12)*AE15+(RegTimeReduced-12)/12*AF15,AF15))</f>
        <v>566.8801200858506</v>
      </c>
      <c r="AE16" s="4">
        <f t="shared" si="6"/>
        <v>595.2241260901446</v>
      </c>
      <c r="AF16" s="4">
        <f t="shared" si="6"/>
        <v>624.9853323946518</v>
      </c>
      <c r="AG16" s="4">
        <f t="shared" si="6"/>
        <v>656.234599014384</v>
      </c>
      <c r="AH16" s="4">
        <f t="shared" si="6"/>
        <v>689.0463289651034</v>
      </c>
      <c r="AI16" s="4">
        <f t="shared" si="6"/>
        <v>723.4986454133577</v>
      </c>
      <c r="AJ16" s="4">
        <f t="shared" si="6"/>
        <v>759.6735776840269</v>
      </c>
      <c r="AK16" s="4">
        <f t="shared" si="6"/>
        <v>797.6572565682272</v>
      </c>
      <c r="AL16" s="4">
        <f t="shared" si="6"/>
        <v>837.540119396639</v>
      </c>
      <c r="AM16" s="4">
        <f t="shared" si="6"/>
        <v>879.4171253664717</v>
      </c>
      <c r="AN16" s="4">
        <f t="shared" si="6"/>
        <v>923.3879816347944</v>
      </c>
      <c r="AO16" s="4">
        <f t="shared" si="6"/>
        <v>969.5573807165347</v>
      </c>
      <c r="AP16" s="4">
        <f t="shared" si="6"/>
        <v>1018.03524975236</v>
      </c>
      <c r="AQ16" s="4">
        <f t="shared" si="6"/>
        <v>1068.9370122399778</v>
      </c>
      <c r="AR16" s="4">
        <f t="shared" si="6"/>
        <v>1122.383862851977</v>
      </c>
      <c r="AS16" s="4">
        <f t="shared" si="6"/>
        <v>1178.5030559945772</v>
      </c>
    </row>
    <row r="17" spans="3:45" ht="15">
      <c r="C17">
        <v>2004</v>
      </c>
      <c r="D17" s="303">
        <v>2984</v>
      </c>
      <c r="E17" s="303">
        <v>106</v>
      </c>
      <c r="F17" s="303"/>
      <c r="G17" s="303"/>
      <c r="H17" s="303"/>
      <c r="I17" s="303">
        <v>115</v>
      </c>
      <c r="J17" s="302">
        <f t="shared" si="1"/>
        <v>3205</v>
      </c>
      <c r="L17" s="305">
        <f t="shared" si="2"/>
        <v>0.9310452418096724</v>
      </c>
      <c r="M17" s="305">
        <f t="shared" si="2"/>
        <v>0.033073322932917315</v>
      </c>
      <c r="N17" s="305">
        <f t="shared" si="0"/>
        <v>0</v>
      </c>
      <c r="O17" s="305">
        <f t="shared" si="0"/>
        <v>0</v>
      </c>
      <c r="P17" s="305">
        <f t="shared" si="0"/>
        <v>0</v>
      </c>
      <c r="Q17" s="305">
        <f t="shared" si="0"/>
        <v>0.0358814352574103</v>
      </c>
      <c r="T17" s="1" t="s">
        <v>98</v>
      </c>
      <c r="W17" s="4">
        <f>V14+W16</f>
        <v>6394.608</v>
      </c>
      <c r="X17" s="4">
        <f>W17+X16</f>
        <v>6963.728112</v>
      </c>
      <c r="Y17" s="4">
        <f aca="true" t="shared" si="7" ref="Y17:AQ17">X17+Y16</f>
        <v>7583.499913967999</v>
      </c>
      <c r="Z17" s="4">
        <f t="shared" si="7"/>
        <v>8258.43140631115</v>
      </c>
      <c r="AA17" s="4">
        <f t="shared" si="7"/>
        <v>8993.431801472843</v>
      </c>
      <c r="AB17" s="4">
        <f t="shared" si="7"/>
        <v>10308.024211473632</v>
      </c>
      <c r="AC17" s="4">
        <f t="shared" si="7"/>
        <v>10847.910040126824</v>
      </c>
      <c r="AD17" s="4">
        <f t="shared" si="7"/>
        <v>11414.790160212675</v>
      </c>
      <c r="AE17" s="4">
        <f t="shared" si="7"/>
        <v>12010.01428630282</v>
      </c>
      <c r="AF17" s="4">
        <f t="shared" si="7"/>
        <v>12634.999618697471</v>
      </c>
      <c r="AG17" s="4">
        <f t="shared" si="7"/>
        <v>13291.234217711855</v>
      </c>
      <c r="AH17" s="4">
        <f t="shared" si="7"/>
        <v>13980.280546676959</v>
      </c>
      <c r="AI17" s="4">
        <f t="shared" si="7"/>
        <v>14703.779192090316</v>
      </c>
      <c r="AJ17" s="4">
        <f t="shared" si="7"/>
        <v>15463.452769774343</v>
      </c>
      <c r="AK17" s="4">
        <f t="shared" si="7"/>
        <v>16261.11002634257</v>
      </c>
      <c r="AL17" s="4">
        <f t="shared" si="7"/>
        <v>17098.650145739208</v>
      </c>
      <c r="AM17" s="4">
        <f t="shared" si="7"/>
        <v>17978.06727110568</v>
      </c>
      <c r="AN17" s="4">
        <f t="shared" si="7"/>
        <v>18901.455252740474</v>
      </c>
      <c r="AO17" s="4">
        <f t="shared" si="7"/>
        <v>19871.01263345701</v>
      </c>
      <c r="AP17" s="4">
        <f t="shared" si="7"/>
        <v>20889.04788320937</v>
      </c>
      <c r="AQ17" s="4">
        <f t="shared" si="7"/>
        <v>21957.984895449346</v>
      </c>
      <c r="AR17" s="4">
        <f>AQ17+AR16</f>
        <v>23080.368758301323</v>
      </c>
      <c r="AS17" s="4">
        <f>AR17+AS16</f>
        <v>24258.8718142959</v>
      </c>
    </row>
    <row r="18" spans="3:45" ht="15">
      <c r="C18">
        <v>2005</v>
      </c>
      <c r="D18" s="303">
        <v>4085</v>
      </c>
      <c r="E18" s="303">
        <v>155</v>
      </c>
      <c r="F18" s="303">
        <v>100</v>
      </c>
      <c r="G18" s="303">
        <v>179</v>
      </c>
      <c r="H18" s="303">
        <v>0</v>
      </c>
      <c r="I18" s="303">
        <v>81</v>
      </c>
      <c r="J18" s="302">
        <f t="shared" si="1"/>
        <v>4600</v>
      </c>
      <c r="L18" s="305">
        <f t="shared" si="2"/>
        <v>0.8880434782608696</v>
      </c>
      <c r="M18" s="305">
        <f t="shared" si="2"/>
        <v>0.03369565217391304</v>
      </c>
      <c r="N18" s="305">
        <f t="shared" si="0"/>
        <v>0.021739130434782608</v>
      </c>
      <c r="O18" s="305">
        <f t="shared" si="0"/>
        <v>0.03891304347826087</v>
      </c>
      <c r="P18" s="305">
        <f t="shared" si="0"/>
        <v>0</v>
      </c>
      <c r="Q18" s="305">
        <f t="shared" si="0"/>
        <v>0.017608695652173913</v>
      </c>
      <c r="T18" s="1" t="s">
        <v>99</v>
      </c>
      <c r="X18" s="3">
        <f>(X17-W17)/W17</f>
        <v>0.08899999999999994</v>
      </c>
      <c r="Y18" s="3">
        <f aca="true" t="shared" si="8" ref="Y18:AQ18">(Y17-X17)/X17</f>
        <v>0.08899999999999995</v>
      </c>
      <c r="Z18" s="3">
        <f t="shared" si="8"/>
        <v>0.0889999999999999</v>
      </c>
      <c r="AA18" s="3">
        <f t="shared" si="8"/>
        <v>0.08900000000000004</v>
      </c>
      <c r="AB18" s="3">
        <f t="shared" si="8"/>
        <v>0.14617249999999996</v>
      </c>
      <c r="AC18" s="3">
        <f t="shared" si="8"/>
        <v>0.052375296912114094</v>
      </c>
      <c r="AD18" s="3">
        <f t="shared" si="8"/>
        <v>0.05225708159349957</v>
      </c>
      <c r="AE18" s="3">
        <f t="shared" si="8"/>
        <v>0.05214499064247842</v>
      </c>
      <c r="AF18" s="3">
        <f t="shared" si="8"/>
        <v>0.05203868350993013</v>
      </c>
      <c r="AG18" s="3">
        <f t="shared" si="8"/>
        <v>0.05193784082456779</v>
      </c>
      <c r="AH18" s="3">
        <f t="shared" si="8"/>
        <v>0.05184216286301557</v>
      </c>
      <c r="AI18" s="3">
        <f t="shared" si="8"/>
        <v>0.05175136815014272</v>
      </c>
      <c r="AJ18" s="3">
        <f t="shared" si="8"/>
        <v>0.05166519217676244</v>
      </c>
      <c r="AK18" s="3">
        <f t="shared" si="8"/>
        <v>0.051583386223248213</v>
      </c>
      <c r="AL18" s="3">
        <f t="shared" si="8"/>
        <v>0.05150571627889143</v>
      </c>
      <c r="AM18" s="3">
        <f t="shared" si="8"/>
        <v>0.05143196204792883</v>
      </c>
      <c r="AN18" s="3">
        <f t="shared" si="8"/>
        <v>0.05136191603414801</v>
      </c>
      <c r="AO18" s="3">
        <f t="shared" si="8"/>
        <v>0.051295382696840815</v>
      </c>
      <c r="AP18" s="3">
        <f t="shared" si="8"/>
        <v>0.051232177671624274</v>
      </c>
      <c r="AQ18" s="3">
        <f t="shared" si="8"/>
        <v>0.051172127050328135</v>
      </c>
      <c r="AR18" s="3">
        <f>(AR17-AQ17)/AQ17</f>
        <v>0.05111506671473228</v>
      </c>
      <c r="AS18" s="3">
        <f>(AS17-AR17)/AR17</f>
        <v>0.05106084171946796</v>
      </c>
    </row>
    <row r="19" spans="3:29" ht="15">
      <c r="C19">
        <v>2006</v>
      </c>
      <c r="D19" s="303">
        <v>4059</v>
      </c>
      <c r="E19" s="303">
        <v>93</v>
      </c>
      <c r="F19" s="303">
        <v>96</v>
      </c>
      <c r="G19" s="303">
        <v>229</v>
      </c>
      <c r="H19" s="303">
        <v>584</v>
      </c>
      <c r="I19" s="303">
        <v>158</v>
      </c>
      <c r="J19" s="302">
        <f t="shared" si="1"/>
        <v>5219</v>
      </c>
      <c r="L19" s="305">
        <f t="shared" si="2"/>
        <v>0.7777351983138532</v>
      </c>
      <c r="M19" s="305">
        <f t="shared" si="2"/>
        <v>0.017819505652423837</v>
      </c>
      <c r="N19" s="305">
        <f t="shared" si="0"/>
        <v>0.01839432841540525</v>
      </c>
      <c r="O19" s="305">
        <f t="shared" si="0"/>
        <v>0.04387813757424794</v>
      </c>
      <c r="P19" s="305">
        <f t="shared" si="0"/>
        <v>0.11189883119371527</v>
      </c>
      <c r="Q19" s="305">
        <f t="shared" si="0"/>
        <v>0.030273998850354474</v>
      </c>
      <c r="Z19" s="307" t="s">
        <v>402</v>
      </c>
      <c r="AA19" s="304"/>
      <c r="AB19" s="304"/>
      <c r="AC19" s="304"/>
    </row>
    <row r="20" spans="3:26" ht="15">
      <c r="C20">
        <v>2007</v>
      </c>
      <c r="D20" s="303">
        <v>5227</v>
      </c>
      <c r="E20" s="303">
        <v>96</v>
      </c>
      <c r="F20" s="303"/>
      <c r="G20" s="303">
        <v>198</v>
      </c>
      <c r="H20" s="303"/>
      <c r="I20" s="303">
        <v>132</v>
      </c>
      <c r="J20" s="302">
        <f t="shared" si="1"/>
        <v>5653</v>
      </c>
      <c r="L20" s="305">
        <f t="shared" si="2"/>
        <v>0.9246417831240049</v>
      </c>
      <c r="M20" s="305">
        <f t="shared" si="2"/>
        <v>0.016982133380505925</v>
      </c>
      <c r="N20" s="305">
        <f t="shared" si="0"/>
        <v>0</v>
      </c>
      <c r="O20" s="305">
        <f t="shared" si="0"/>
        <v>0.03502565009729347</v>
      </c>
      <c r="P20" s="305">
        <f t="shared" si="0"/>
        <v>0</v>
      </c>
      <c r="Q20" s="305">
        <f t="shared" si="0"/>
        <v>0.023350433398195647</v>
      </c>
      <c r="Z20" t="s">
        <v>105</v>
      </c>
    </row>
    <row r="21" spans="3:47" ht="15">
      <c r="C21">
        <v>2008</v>
      </c>
      <c r="D21" s="303">
        <v>5238</v>
      </c>
      <c r="E21" s="303">
        <v>129</v>
      </c>
      <c r="F21" s="303">
        <v>10</v>
      </c>
      <c r="G21" s="303">
        <v>241</v>
      </c>
      <c r="H21" s="303">
        <v>80</v>
      </c>
      <c r="I21" s="303">
        <v>140</v>
      </c>
      <c r="J21" s="302">
        <f t="shared" si="1"/>
        <v>5838</v>
      </c>
      <c r="L21" s="305">
        <f t="shared" si="2"/>
        <v>0.8972250770811921</v>
      </c>
      <c r="M21" s="305">
        <f t="shared" si="2"/>
        <v>0.022096608427543678</v>
      </c>
      <c r="N21" s="305">
        <f t="shared" si="0"/>
        <v>0.0017129153819801302</v>
      </c>
      <c r="O21" s="305">
        <f t="shared" si="0"/>
        <v>0.041281260705721134</v>
      </c>
      <c r="P21" s="305">
        <f t="shared" si="0"/>
        <v>0.013703323055841042</v>
      </c>
      <c r="Q21" s="305">
        <f t="shared" si="0"/>
        <v>0.023980815347721823</v>
      </c>
      <c r="T21" t="s">
        <v>74</v>
      </c>
      <c r="U21" s="298">
        <v>2009</v>
      </c>
      <c r="V21" s="298">
        <v>2010</v>
      </c>
      <c r="W21" s="298">
        <v>2011</v>
      </c>
      <c r="X21" s="298">
        <v>2012</v>
      </c>
      <c r="Y21" s="298">
        <v>2013</v>
      </c>
      <c r="Z21" s="308">
        <v>2014</v>
      </c>
      <c r="AA21" s="298">
        <v>2015</v>
      </c>
      <c r="AB21" s="298">
        <v>2016</v>
      </c>
      <c r="AC21" s="298">
        <v>2017</v>
      </c>
      <c r="AD21" s="298">
        <v>2018</v>
      </c>
      <c r="AE21" s="298">
        <v>2019</v>
      </c>
      <c r="AF21" s="298">
        <v>2020</v>
      </c>
      <c r="AG21" s="298">
        <v>2021</v>
      </c>
      <c r="AH21" s="298">
        <v>2022</v>
      </c>
      <c r="AI21" s="298">
        <v>2023</v>
      </c>
      <c r="AJ21" s="298">
        <v>2024</v>
      </c>
      <c r="AK21" s="298">
        <v>2025</v>
      </c>
      <c r="AL21" s="298">
        <v>2026</v>
      </c>
      <c r="AM21" s="298">
        <v>2027</v>
      </c>
      <c r="AN21" s="298">
        <v>2028</v>
      </c>
      <c r="AO21" s="298">
        <v>2029</v>
      </c>
      <c r="AP21" s="298">
        <v>2030</v>
      </c>
      <c r="AQ21" s="298">
        <v>2031</v>
      </c>
      <c r="AR21" s="298">
        <v>2032</v>
      </c>
      <c r="AS21" s="298">
        <v>2033</v>
      </c>
      <c r="AT21" s="298">
        <v>2034</v>
      </c>
      <c r="AU21" s="298">
        <v>2035</v>
      </c>
    </row>
    <row r="22" spans="3:47" ht="15">
      <c r="C22">
        <v>2009</v>
      </c>
      <c r="D22" s="303">
        <v>5242</v>
      </c>
      <c r="E22" s="303">
        <v>151</v>
      </c>
      <c r="F22" s="303">
        <v>10</v>
      </c>
      <c r="G22" s="303">
        <v>241</v>
      </c>
      <c r="H22" s="303">
        <v>80</v>
      </c>
      <c r="I22" s="303">
        <v>148</v>
      </c>
      <c r="J22" s="302">
        <f t="shared" si="1"/>
        <v>5872</v>
      </c>
      <c r="L22" s="305">
        <f t="shared" si="2"/>
        <v>0.8927111716621253</v>
      </c>
      <c r="M22" s="305">
        <f t="shared" si="2"/>
        <v>0.025715258855585833</v>
      </c>
      <c r="N22" s="305">
        <f t="shared" si="0"/>
        <v>0.0017029972752043597</v>
      </c>
      <c r="O22" s="305">
        <f t="shared" si="0"/>
        <v>0.04104223433242507</v>
      </c>
      <c r="P22" s="305">
        <f t="shared" si="0"/>
        <v>0.013623978201634877</v>
      </c>
      <c r="Q22" s="305">
        <f t="shared" si="0"/>
        <v>0.025204359673024524</v>
      </c>
      <c r="T22" s="1" t="s">
        <v>95</v>
      </c>
      <c r="V22" s="4">
        <f>V14</f>
        <v>5872</v>
      </c>
      <c r="W22" s="4">
        <f aca="true" t="shared" si="9" ref="W22:AU22">W14</f>
        <v>6394.608</v>
      </c>
      <c r="X22" s="4">
        <f t="shared" si="9"/>
        <v>6963.728112</v>
      </c>
      <c r="Y22" s="4">
        <f t="shared" si="9"/>
        <v>7583.499913967999</v>
      </c>
      <c r="Z22" s="4">
        <f t="shared" si="9"/>
        <v>8258.43140631115</v>
      </c>
      <c r="AA22" s="4">
        <f t="shared" si="9"/>
        <v>8993.431801472843</v>
      </c>
      <c r="AB22" s="4">
        <f t="shared" si="9"/>
        <v>9793.847231803926</v>
      </c>
      <c r="AC22" s="4">
        <f t="shared" si="9"/>
        <v>10283.539593394122</v>
      </c>
      <c r="AD22" s="4">
        <f t="shared" si="9"/>
        <v>10797.716573063828</v>
      </c>
      <c r="AE22" s="4">
        <f t="shared" si="9"/>
        <v>11337.60240171702</v>
      </c>
      <c r="AF22" s="4">
        <f t="shared" si="9"/>
        <v>11904.48252180287</v>
      </c>
      <c r="AG22" s="4">
        <f t="shared" si="9"/>
        <v>12499.706647893016</v>
      </c>
      <c r="AH22" s="4">
        <f t="shared" si="9"/>
        <v>13124.691980287667</v>
      </c>
      <c r="AI22" s="4">
        <f t="shared" si="9"/>
        <v>13780.926579302051</v>
      </c>
      <c r="AJ22" s="4">
        <f t="shared" si="9"/>
        <v>14469.972908267155</v>
      </c>
      <c r="AK22" s="4">
        <f t="shared" si="9"/>
        <v>15193.471553680512</v>
      </c>
      <c r="AL22" s="4">
        <f t="shared" si="9"/>
        <v>15953.14513136454</v>
      </c>
      <c r="AM22" s="4">
        <f t="shared" si="9"/>
        <v>16750.802387932767</v>
      </c>
      <c r="AN22" s="4">
        <f t="shared" si="9"/>
        <v>17588.342507329406</v>
      </c>
      <c r="AO22" s="4">
        <f t="shared" si="9"/>
        <v>18467.759632695877</v>
      </c>
      <c r="AP22" s="4">
        <f t="shared" si="9"/>
        <v>19391.14761433067</v>
      </c>
      <c r="AQ22" s="4">
        <f t="shared" si="9"/>
        <v>20360.704995047206</v>
      </c>
      <c r="AR22" s="4">
        <f t="shared" si="9"/>
        <v>21378.740244799566</v>
      </c>
      <c r="AS22" s="4">
        <f t="shared" si="9"/>
        <v>22447.677257039544</v>
      </c>
      <c r="AT22" s="4">
        <f t="shared" si="9"/>
        <v>23570.06111989152</v>
      </c>
      <c r="AU22" s="4">
        <f t="shared" si="9"/>
        <v>24748.5641758861</v>
      </c>
    </row>
    <row r="23" spans="3:47" ht="15">
      <c r="C23">
        <v>2010</v>
      </c>
      <c r="D23" s="303">
        <v>4496</v>
      </c>
      <c r="E23" s="303">
        <v>134</v>
      </c>
      <c r="F23" s="303">
        <v>0</v>
      </c>
      <c r="G23" s="303">
        <v>87</v>
      </c>
      <c r="H23" s="303">
        <v>356</v>
      </c>
      <c r="I23" s="303">
        <v>132</v>
      </c>
      <c r="J23" s="302">
        <f t="shared" si="1"/>
        <v>5205</v>
      </c>
      <c r="L23" s="305">
        <f t="shared" si="2"/>
        <v>0.8637848222862632</v>
      </c>
      <c r="M23" s="305">
        <f t="shared" si="2"/>
        <v>0.02574447646493756</v>
      </c>
      <c r="N23" s="305">
        <f t="shared" si="0"/>
        <v>0</v>
      </c>
      <c r="O23" s="305">
        <f t="shared" si="0"/>
        <v>0.016714697406340056</v>
      </c>
      <c r="P23" s="305">
        <f t="shared" si="0"/>
        <v>0.06839577329490874</v>
      </c>
      <c r="Q23" s="305">
        <f t="shared" si="0"/>
        <v>0.025360230547550433</v>
      </c>
      <c r="T23" s="1" t="s">
        <v>96</v>
      </c>
      <c r="W23" s="4">
        <f>W22-V22</f>
        <v>522.6080000000002</v>
      </c>
      <c r="X23" s="4">
        <f aca="true" t="shared" si="10" ref="X23:AU23">X22-W22</f>
        <v>569.1201119999996</v>
      </c>
      <c r="Y23" s="4">
        <f t="shared" si="10"/>
        <v>619.7718019679996</v>
      </c>
      <c r="Z23" s="4">
        <f t="shared" si="10"/>
        <v>674.9314923431511</v>
      </c>
      <c r="AA23" s="4">
        <f t="shared" si="10"/>
        <v>735.0003951616927</v>
      </c>
      <c r="AB23" s="4">
        <f t="shared" si="10"/>
        <v>800.4154303310825</v>
      </c>
      <c r="AC23" s="4">
        <f t="shared" si="10"/>
        <v>489.692361590196</v>
      </c>
      <c r="AD23" s="4">
        <f t="shared" si="10"/>
        <v>514.1769796697063</v>
      </c>
      <c r="AE23" s="4">
        <f t="shared" si="10"/>
        <v>539.8858286531922</v>
      </c>
      <c r="AF23" s="4">
        <f t="shared" si="10"/>
        <v>566.8801200858506</v>
      </c>
      <c r="AG23" s="4">
        <f t="shared" si="10"/>
        <v>595.2241260901446</v>
      </c>
      <c r="AH23" s="4">
        <f t="shared" si="10"/>
        <v>624.9853323946518</v>
      </c>
      <c r="AI23" s="4">
        <f t="shared" si="10"/>
        <v>656.234599014384</v>
      </c>
      <c r="AJ23" s="4">
        <f t="shared" si="10"/>
        <v>689.0463289651034</v>
      </c>
      <c r="AK23" s="4">
        <f t="shared" si="10"/>
        <v>723.4986454133577</v>
      </c>
      <c r="AL23" s="4">
        <f t="shared" si="10"/>
        <v>759.6735776840269</v>
      </c>
      <c r="AM23" s="4">
        <f t="shared" si="10"/>
        <v>797.6572565682272</v>
      </c>
      <c r="AN23" s="4">
        <f t="shared" si="10"/>
        <v>837.540119396639</v>
      </c>
      <c r="AO23" s="4">
        <f t="shared" si="10"/>
        <v>879.4171253664717</v>
      </c>
      <c r="AP23" s="4">
        <f t="shared" si="10"/>
        <v>923.3879816347944</v>
      </c>
      <c r="AQ23" s="4">
        <f t="shared" si="10"/>
        <v>969.5573807165347</v>
      </c>
      <c r="AR23" s="4">
        <f t="shared" si="10"/>
        <v>1018.03524975236</v>
      </c>
      <c r="AS23" s="4">
        <f t="shared" si="10"/>
        <v>1068.9370122399778</v>
      </c>
      <c r="AT23" s="4">
        <f t="shared" si="10"/>
        <v>1122.383862851977</v>
      </c>
      <c r="AU23" s="4">
        <f t="shared" si="10"/>
        <v>1178.5030559945772</v>
      </c>
    </row>
    <row r="24" spans="20:47" ht="15">
      <c r="T24" s="1" t="s">
        <v>97</v>
      </c>
      <c r="W24" s="4">
        <f>W23</f>
        <v>522.6080000000002</v>
      </c>
      <c r="X24" s="4">
        <f>X23</f>
        <v>569.1201119999996</v>
      </c>
      <c r="Y24" s="4">
        <f>Y23</f>
        <v>619.7718019679996</v>
      </c>
      <c r="Z24" s="4">
        <f>Z23</f>
        <v>674.9314923431511</v>
      </c>
      <c r="AA24" s="4">
        <f>AA23</f>
        <v>735.0003951616927</v>
      </c>
      <c r="AB24" s="4">
        <f>AB23</f>
        <v>800.4154303310825</v>
      </c>
      <c r="AC24" s="4">
        <f>AC23+AD23</f>
        <v>1003.8693412599023</v>
      </c>
      <c r="AD24" s="4">
        <f>AE23</f>
        <v>539.8858286531922</v>
      </c>
      <c r="AE24" s="4">
        <f aca="true" t="shared" si="11" ref="AE24:AS24">AF23</f>
        <v>566.8801200858506</v>
      </c>
      <c r="AF24" s="4">
        <f t="shared" si="11"/>
        <v>595.2241260901446</v>
      </c>
      <c r="AG24" s="4">
        <f t="shared" si="11"/>
        <v>624.9853323946518</v>
      </c>
      <c r="AH24" s="4">
        <f t="shared" si="11"/>
        <v>656.234599014384</v>
      </c>
      <c r="AI24" s="4">
        <f t="shared" si="11"/>
        <v>689.0463289651034</v>
      </c>
      <c r="AJ24" s="4">
        <f t="shared" si="11"/>
        <v>723.4986454133577</v>
      </c>
      <c r="AK24" s="4">
        <f t="shared" si="11"/>
        <v>759.6735776840269</v>
      </c>
      <c r="AL24" s="4">
        <f t="shared" si="11"/>
        <v>797.6572565682272</v>
      </c>
      <c r="AM24" s="4">
        <f t="shared" si="11"/>
        <v>837.540119396639</v>
      </c>
      <c r="AN24" s="4">
        <f t="shared" si="11"/>
        <v>879.4171253664717</v>
      </c>
      <c r="AO24" s="4">
        <f t="shared" si="11"/>
        <v>923.3879816347944</v>
      </c>
      <c r="AP24" s="4">
        <f t="shared" si="11"/>
        <v>969.5573807165347</v>
      </c>
      <c r="AQ24" s="4">
        <f t="shared" si="11"/>
        <v>1018.03524975236</v>
      </c>
      <c r="AR24" s="4">
        <f t="shared" si="11"/>
        <v>1068.9370122399778</v>
      </c>
      <c r="AS24" s="4">
        <f t="shared" si="11"/>
        <v>1122.383862851977</v>
      </c>
      <c r="AT24" s="4"/>
      <c r="AU24" s="4"/>
    </row>
    <row r="25" spans="3:45" ht="15">
      <c r="C25" t="s">
        <v>14</v>
      </c>
      <c r="D25">
        <f>MIN(D13:D23)</f>
        <v>2225</v>
      </c>
      <c r="E25">
        <f>MIN(E13:E23)</f>
        <v>93</v>
      </c>
      <c r="F25">
        <f>MIN(F13:F23)</f>
        <v>0</v>
      </c>
      <c r="G25">
        <f>MIN(G13:G23)</f>
        <v>48</v>
      </c>
      <c r="H25">
        <f>MIN(H13:H23)</f>
        <v>0</v>
      </c>
      <c r="I25">
        <f>MIN(I13:I23)</f>
        <v>72</v>
      </c>
      <c r="L25" t="s">
        <v>16</v>
      </c>
      <c r="T25" s="1" t="s">
        <v>98</v>
      </c>
      <c r="W25" s="4">
        <f>V22+W24</f>
        <v>6394.608</v>
      </c>
      <c r="X25" s="4">
        <f>W25+X24</f>
        <v>6963.728112</v>
      </c>
      <c r="Y25" s="4">
        <f>X25+Y24</f>
        <v>7583.499913967999</v>
      </c>
      <c r="Z25" s="4">
        <f>Y25+Z24</f>
        <v>8258.43140631115</v>
      </c>
      <c r="AA25" s="4">
        <f aca="true" t="shared" si="12" ref="AA25:AF25">Z25+AA24</f>
        <v>8993.431801472843</v>
      </c>
      <c r="AB25" s="4">
        <f t="shared" si="12"/>
        <v>9793.847231803926</v>
      </c>
      <c r="AC25" s="4">
        <f t="shared" si="12"/>
        <v>10797.716573063828</v>
      </c>
      <c r="AD25" s="4">
        <f t="shared" si="12"/>
        <v>11337.60240171702</v>
      </c>
      <c r="AE25" s="4">
        <f t="shared" si="12"/>
        <v>11904.48252180287</v>
      </c>
      <c r="AF25" s="4">
        <f t="shared" si="12"/>
        <v>12499.706647893016</v>
      </c>
      <c r="AG25" s="4">
        <f>AF25+AG24</f>
        <v>13124.691980287667</v>
      </c>
      <c r="AH25" s="4">
        <f>AG25+AH24</f>
        <v>13780.926579302051</v>
      </c>
      <c r="AI25" s="4">
        <f>AH25+AI24</f>
        <v>14469.972908267155</v>
      </c>
      <c r="AJ25" s="4">
        <f>AI25+AJ24</f>
        <v>15193.471553680512</v>
      </c>
      <c r="AK25" s="4">
        <f>AJ25+AK24</f>
        <v>15953.14513136454</v>
      </c>
      <c r="AL25" s="4">
        <f>AK25+AL24</f>
        <v>16750.802387932767</v>
      </c>
      <c r="AM25" s="4">
        <f>AL25+AM24</f>
        <v>17588.342507329406</v>
      </c>
      <c r="AN25" s="4">
        <f>AM25+AN24</f>
        <v>18467.759632695877</v>
      </c>
      <c r="AO25" s="4">
        <f>AN25+AO24</f>
        <v>19391.14761433067</v>
      </c>
      <c r="AP25" s="4">
        <f>AO25+AP24</f>
        <v>20360.704995047206</v>
      </c>
      <c r="AQ25" s="4">
        <f>AP25+AQ24</f>
        <v>21378.740244799566</v>
      </c>
      <c r="AR25" s="4">
        <f>AQ25+AR24</f>
        <v>22447.677257039544</v>
      </c>
      <c r="AS25" s="4">
        <f>AR25+AS24</f>
        <v>23570.06111989152</v>
      </c>
    </row>
    <row r="26" spans="3:45" ht="15">
      <c r="C26" t="s">
        <v>15</v>
      </c>
      <c r="D26">
        <f>MAX(D13:D23)</f>
        <v>5242</v>
      </c>
      <c r="E26">
        <f>MAX(E13:E23)</f>
        <v>155</v>
      </c>
      <c r="F26">
        <f>MAX(F13:F23)</f>
        <v>100</v>
      </c>
      <c r="G26">
        <f>MAX(G13:G23)</f>
        <v>241</v>
      </c>
      <c r="H26">
        <f>MAX(H13:H23)</f>
        <v>584</v>
      </c>
      <c r="I26">
        <f>MAX(I13:I23)</f>
        <v>158</v>
      </c>
      <c r="L26" s="2">
        <v>0.9</v>
      </c>
      <c r="M26" s="2">
        <v>0.02</v>
      </c>
      <c r="N26" s="2">
        <v>0.02</v>
      </c>
      <c r="O26" s="2">
        <v>0.04</v>
      </c>
      <c r="P26" s="2">
        <v>0</v>
      </c>
      <c r="Q26" s="2">
        <v>0.02</v>
      </c>
      <c r="T26" s="1" t="s">
        <v>99</v>
      </c>
      <c r="X26" s="3">
        <f>(X25-W25)/W25</f>
        <v>0.08899999999999994</v>
      </c>
      <c r="Y26" s="3">
        <f aca="true" t="shared" si="13" ref="Y26:AS26">(Y25-X25)/X25</f>
        <v>0.08899999999999995</v>
      </c>
      <c r="Z26" s="3">
        <f t="shared" si="13"/>
        <v>0.0889999999999999</v>
      </c>
      <c r="AA26" s="3">
        <f t="shared" si="13"/>
        <v>0.08900000000000004</v>
      </c>
      <c r="AB26" s="3">
        <f t="shared" si="13"/>
        <v>0.08899999999999994</v>
      </c>
      <c r="AC26" s="3">
        <f t="shared" si="13"/>
        <v>0.1025</v>
      </c>
      <c r="AD26" s="3">
        <f t="shared" si="13"/>
        <v>0.05000000000000008</v>
      </c>
      <c r="AE26" s="3">
        <f t="shared" si="13"/>
        <v>0.04999999999999997</v>
      </c>
      <c r="AF26" s="3">
        <f t="shared" si="13"/>
        <v>0.05000000000000009</v>
      </c>
      <c r="AG26" s="3">
        <f t="shared" si="13"/>
        <v>0.05000000000000008</v>
      </c>
      <c r="AH26" s="3">
        <f t="shared" si="13"/>
        <v>0.05000000000000005</v>
      </c>
      <c r="AI26" s="3">
        <f t="shared" si="13"/>
        <v>0.05000000000000006</v>
      </c>
      <c r="AJ26" s="3">
        <f t="shared" si="13"/>
        <v>0.05</v>
      </c>
      <c r="AK26" s="3">
        <f t="shared" si="13"/>
        <v>0.050000000000000086</v>
      </c>
      <c r="AL26" s="3">
        <f t="shared" si="13"/>
        <v>0.05000000000000002</v>
      </c>
      <c r="AM26" s="3">
        <f t="shared" si="13"/>
        <v>0.050000000000000044</v>
      </c>
      <c r="AN26" s="3">
        <f t="shared" si="13"/>
        <v>0.050000000000000086</v>
      </c>
      <c r="AO26" s="3">
        <f t="shared" si="13"/>
        <v>0.05000000000000003</v>
      </c>
      <c r="AP26" s="3">
        <f t="shared" si="13"/>
        <v>0.05000000000000006</v>
      </c>
      <c r="AQ26" s="3">
        <f t="shared" si="13"/>
        <v>0.04999999999999998</v>
      </c>
      <c r="AR26" s="3">
        <f t="shared" si="13"/>
        <v>0.049999999999999975</v>
      </c>
      <c r="AS26" s="3">
        <f t="shared" si="13"/>
        <v>0.04999999999999999</v>
      </c>
    </row>
    <row r="28" spans="3:4" ht="15">
      <c r="C28" t="s">
        <v>17</v>
      </c>
      <c r="D28" s="3">
        <f>(D26/D25)^(1/10)-1</f>
        <v>0.089473572891835</v>
      </c>
    </row>
    <row r="29" spans="4:5" ht="15">
      <c r="D29" s="3"/>
      <c r="E29" s="3"/>
    </row>
    <row r="30" spans="4:5" ht="15">
      <c r="D30" s="3"/>
      <c r="E30" s="3"/>
    </row>
    <row r="31" spans="4:8" ht="15">
      <c r="D31" s="1"/>
      <c r="E31" s="1"/>
      <c r="F31" s="1"/>
      <c r="G31" s="1"/>
      <c r="H31" s="1"/>
    </row>
    <row r="35" ht="15">
      <c r="H35" s="3"/>
    </row>
    <row r="36" ht="15">
      <c r="H36" s="3"/>
    </row>
    <row r="37" ht="15">
      <c r="H37" s="3"/>
    </row>
    <row r="38" ht="15">
      <c r="H38" s="3"/>
    </row>
    <row r="39" ht="15">
      <c r="H39" s="3"/>
    </row>
    <row r="40" ht="15">
      <c r="H40" s="3"/>
    </row>
    <row r="41" ht="15">
      <c r="H41" s="3"/>
    </row>
    <row r="42" ht="15">
      <c r="H42" s="3"/>
    </row>
    <row r="43" ht="15">
      <c r="H43" s="3"/>
    </row>
    <row r="44" ht="15">
      <c r="H44" s="3"/>
    </row>
    <row r="45" ht="15">
      <c r="H45" s="3"/>
    </row>
    <row r="46" ht="15">
      <c r="H46" s="3"/>
    </row>
    <row r="47" ht="15">
      <c r="H47" s="3"/>
    </row>
    <row r="48" ht="15">
      <c r="H48" s="3"/>
    </row>
    <row r="49" ht="15">
      <c r="H49" s="3"/>
    </row>
    <row r="50" ht="15">
      <c r="H50" s="3"/>
    </row>
    <row r="51" ht="15">
      <c r="H51" s="3"/>
    </row>
    <row r="52" ht="15">
      <c r="H52" s="3"/>
    </row>
    <row r="53" ht="15">
      <c r="H53" s="3"/>
    </row>
    <row r="54" ht="15">
      <c r="H54" s="3"/>
    </row>
    <row r="55" spans="4:5" ht="15">
      <c r="D55" s="4"/>
      <c r="E55" s="4"/>
    </row>
    <row r="56" spans="4:5" ht="15">
      <c r="D56" s="4"/>
      <c r="E56"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80" ht="15">
      <c r="D80" s="3"/>
    </row>
  </sheetData>
  <sheetProtection/>
  <mergeCells count="1">
    <mergeCell ref="B1:J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codeName="Sheet11"/>
  <dimension ref="A1:AE82"/>
  <sheetViews>
    <sheetView zoomScalePageLayoutView="0" workbookViewId="0" topLeftCell="A1">
      <selection activeCell="A1" sqref="A1"/>
    </sheetView>
  </sheetViews>
  <sheetFormatPr defaultColWidth="9.140625" defaultRowHeight="15"/>
  <cols>
    <col min="1" max="1" width="7.7109375" style="0" customWidth="1"/>
    <col min="2" max="2" width="45.57421875" style="0" bestFit="1" customWidth="1"/>
    <col min="5" max="5" width="10.00390625" style="0" bestFit="1" customWidth="1"/>
  </cols>
  <sheetData>
    <row r="1" spans="2:13" s="127" customFormat="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382"/>
      <c r="J1" s="382"/>
      <c r="K1" s="296"/>
      <c r="L1" s="296"/>
      <c r="M1" s="242" t="str">
        <f>'User''s Guide'!C1</f>
        <v>Last  Updated : 'September 2011</v>
      </c>
    </row>
    <row r="2" spans="1:7" s="133" customFormat="1" ht="20.25">
      <c r="A2" s="130"/>
      <c r="B2" s="131" t="s">
        <v>432</v>
      </c>
      <c r="C2" s="130"/>
      <c r="D2" s="130"/>
      <c r="E2" s="130"/>
      <c r="F2" s="130"/>
      <c r="G2" s="132"/>
    </row>
    <row r="3" spans="1:7" s="133" customFormat="1" ht="20.25" customHeight="1">
      <c r="A3" s="130"/>
      <c r="B3" s="134"/>
      <c r="C3" s="130"/>
      <c r="D3" s="130"/>
      <c r="E3" s="130"/>
      <c r="F3" s="130"/>
      <c r="G3" s="130"/>
    </row>
    <row r="4" spans="2:15" ht="15">
      <c r="B4" s="12" t="s">
        <v>19</v>
      </c>
      <c r="F4" s="4"/>
      <c r="G4" s="4"/>
      <c r="H4" s="4"/>
      <c r="I4" s="4"/>
      <c r="J4" s="4"/>
      <c r="K4" s="4"/>
      <c r="L4" s="4"/>
      <c r="M4" s="4"/>
      <c r="N4" s="4"/>
      <c r="O4" s="4"/>
    </row>
    <row r="5" ht="15">
      <c r="B5" s="12" t="s">
        <v>84</v>
      </c>
    </row>
    <row r="6" ht="15">
      <c r="B6" s="12" t="s">
        <v>23</v>
      </c>
    </row>
    <row r="7" ht="15">
      <c r="E7" t="s">
        <v>83</v>
      </c>
    </row>
    <row r="8" spans="2:6" ht="15">
      <c r="B8" t="s">
        <v>69</v>
      </c>
      <c r="E8" s="5">
        <f>Average_area_per_bed_ha</f>
        <v>0.045</v>
      </c>
      <c r="F8" s="270" t="s">
        <v>377</v>
      </c>
    </row>
    <row r="9" spans="2:10" ht="15">
      <c r="B9" t="s">
        <v>80</v>
      </c>
      <c r="E9" s="2">
        <f>E14/E16</f>
        <v>0.993884892086331</v>
      </c>
      <c r="I9" s="4">
        <f>E10*E9</f>
        <v>5675.08273381295</v>
      </c>
      <c r="J9" t="s">
        <v>92</v>
      </c>
    </row>
    <row r="10" spans="2:10" ht="15">
      <c r="B10" t="s">
        <v>81</v>
      </c>
      <c r="E10" s="4">
        <v>5710</v>
      </c>
      <c r="F10" s="268" t="s">
        <v>82</v>
      </c>
      <c r="I10" s="4">
        <f>I9/E8</f>
        <v>126112.94964028778</v>
      </c>
      <c r="J10" t="s">
        <v>93</v>
      </c>
    </row>
    <row r="11" spans="2:5" ht="15">
      <c r="B11" t="s">
        <v>103</v>
      </c>
      <c r="E11" s="4"/>
    </row>
    <row r="12" spans="2:26" ht="15">
      <c r="B12" s="12" t="s">
        <v>29</v>
      </c>
      <c r="E12" s="9" t="s">
        <v>28</v>
      </c>
      <c r="F12">
        <v>0</v>
      </c>
      <c r="G12">
        <v>1</v>
      </c>
      <c r="H12">
        <v>2</v>
      </c>
      <c r="I12">
        <v>3</v>
      </c>
      <c r="J12">
        <v>4</v>
      </c>
      <c r="K12">
        <v>5</v>
      </c>
      <c r="L12">
        <v>6</v>
      </c>
      <c r="M12">
        <v>7</v>
      </c>
      <c r="N12">
        <v>8</v>
      </c>
      <c r="O12">
        <v>9</v>
      </c>
      <c r="P12">
        <v>10</v>
      </c>
      <c r="Q12">
        <v>11</v>
      </c>
      <c r="R12">
        <v>12</v>
      </c>
      <c r="S12">
        <v>13</v>
      </c>
      <c r="T12">
        <v>14</v>
      </c>
      <c r="U12">
        <v>15</v>
      </c>
      <c r="V12">
        <v>16</v>
      </c>
      <c r="W12">
        <v>17</v>
      </c>
      <c r="X12">
        <v>18</v>
      </c>
      <c r="Y12">
        <v>19</v>
      </c>
      <c r="Z12">
        <v>20</v>
      </c>
    </row>
    <row r="13" spans="5:31" ht="15">
      <c r="E13" s="8">
        <v>2010</v>
      </c>
      <c r="F13" s="8">
        <v>2011</v>
      </c>
      <c r="G13" s="8">
        <v>2012</v>
      </c>
      <c r="H13" s="8">
        <v>2013</v>
      </c>
      <c r="I13" s="8">
        <v>2014</v>
      </c>
      <c r="J13" s="8">
        <v>2015</v>
      </c>
      <c r="K13" s="8">
        <v>2016</v>
      </c>
      <c r="L13" s="8">
        <v>2017</v>
      </c>
      <c r="M13" s="8">
        <v>2018</v>
      </c>
      <c r="N13" s="8">
        <v>2019</v>
      </c>
      <c r="O13" s="8">
        <v>2020</v>
      </c>
      <c r="P13" s="8">
        <v>2021</v>
      </c>
      <c r="Q13" s="8">
        <v>2022</v>
      </c>
      <c r="R13" s="8">
        <v>2023</v>
      </c>
      <c r="S13" s="8">
        <v>2024</v>
      </c>
      <c r="T13" s="8">
        <v>2025</v>
      </c>
      <c r="U13" s="8">
        <v>2026</v>
      </c>
      <c r="V13" s="8">
        <v>2027</v>
      </c>
      <c r="W13" s="8">
        <v>2028</v>
      </c>
      <c r="X13" s="8">
        <v>2029</v>
      </c>
      <c r="Y13" s="8">
        <v>2030</v>
      </c>
      <c r="Z13" s="8">
        <v>2031</v>
      </c>
      <c r="AA13" s="8">
        <v>2032</v>
      </c>
      <c r="AB13" s="8">
        <v>2033</v>
      </c>
      <c r="AC13" s="8">
        <v>2034</v>
      </c>
      <c r="AD13" s="8">
        <v>2035</v>
      </c>
      <c r="AE13" s="8">
        <v>2036</v>
      </c>
    </row>
    <row r="14" spans="2:28" ht="15">
      <c r="B14" t="s">
        <v>68</v>
      </c>
      <c r="E14" s="4">
        <f>E18*E8</f>
        <v>138.15</v>
      </c>
      <c r="F14" s="4">
        <f aca="true" t="shared" si="0" ref="F14:P14">F18*$E8</f>
        <v>150.44535</v>
      </c>
      <c r="G14" s="4">
        <f t="shared" si="0"/>
        <v>163.83498615</v>
      </c>
      <c r="H14" s="4">
        <f t="shared" si="0"/>
        <v>178.41629991735</v>
      </c>
      <c r="I14" s="4">
        <f t="shared" si="0"/>
        <v>194.29535060999416</v>
      </c>
      <c r="J14" s="4">
        <f t="shared" si="0"/>
        <v>211.58763681428363</v>
      </c>
      <c r="K14" s="4">
        <f t="shared" si="0"/>
        <v>230.41893649075485</v>
      </c>
      <c r="L14" s="4">
        <f t="shared" si="0"/>
        <v>241.9398833152926</v>
      </c>
      <c r="M14" s="4">
        <f t="shared" si="0"/>
        <v>254.03687748105725</v>
      </c>
      <c r="N14" s="4">
        <f t="shared" si="0"/>
        <v>266.7387213551101</v>
      </c>
      <c r="O14" s="4">
        <f t="shared" si="0"/>
        <v>280.0756574228656</v>
      </c>
      <c r="P14" s="4">
        <f t="shared" si="0"/>
        <v>294.0794402940089</v>
      </c>
      <c r="Q14" s="4">
        <f aca="true" t="shared" si="1" ref="Q14:Z14">Q18*$E8</f>
        <v>308.7834123087094</v>
      </c>
      <c r="R14" s="4">
        <f t="shared" si="1"/>
        <v>324.2225829241449</v>
      </c>
      <c r="S14" s="4">
        <f t="shared" si="1"/>
        <v>340.43371207035216</v>
      </c>
      <c r="T14" s="4">
        <f t="shared" si="1"/>
        <v>357.45539767386975</v>
      </c>
      <c r="U14" s="4">
        <f t="shared" si="1"/>
        <v>375.32816755756323</v>
      </c>
      <c r="V14" s="4">
        <f t="shared" si="1"/>
        <v>394.0945759354414</v>
      </c>
      <c r="W14" s="4">
        <f t="shared" si="1"/>
        <v>413.7993047322135</v>
      </c>
      <c r="X14" s="4">
        <f t="shared" si="1"/>
        <v>434.4892699688242</v>
      </c>
      <c r="Y14" s="4">
        <f t="shared" si="1"/>
        <v>456.21373346726546</v>
      </c>
      <c r="Z14" s="4">
        <f t="shared" si="1"/>
        <v>479.02442014062876</v>
      </c>
      <c r="AA14" s="4">
        <f>AA18*$E8</f>
        <v>502.97564114766027</v>
      </c>
      <c r="AB14" s="4">
        <f>AB18*$E8</f>
        <v>528.1244232050433</v>
      </c>
    </row>
    <row r="15" spans="2:28" ht="15">
      <c r="B15" t="s">
        <v>70</v>
      </c>
      <c r="F15" s="4">
        <f aca="true" t="shared" si="2" ref="F15:P15">F14-E14</f>
        <v>12.295349999999985</v>
      </c>
      <c r="G15" s="4">
        <f t="shared" si="2"/>
        <v>13.389636150000001</v>
      </c>
      <c r="H15" s="4">
        <f t="shared" si="2"/>
        <v>14.581313767349997</v>
      </c>
      <c r="I15" s="4">
        <f t="shared" si="2"/>
        <v>15.87905069264417</v>
      </c>
      <c r="J15" s="4">
        <f t="shared" si="2"/>
        <v>17.292286204289468</v>
      </c>
      <c r="K15" s="4">
        <f t="shared" si="2"/>
        <v>18.831299676471218</v>
      </c>
      <c r="L15" s="4">
        <f t="shared" si="2"/>
        <v>11.52094682453776</v>
      </c>
      <c r="M15" s="4">
        <f t="shared" si="2"/>
        <v>12.096994165764642</v>
      </c>
      <c r="N15" s="4">
        <f t="shared" si="2"/>
        <v>12.701843874052855</v>
      </c>
      <c r="O15" s="4">
        <f t="shared" si="2"/>
        <v>13.336936067755516</v>
      </c>
      <c r="P15" s="4">
        <f t="shared" si="2"/>
        <v>14.0037828711433</v>
      </c>
      <c r="Q15" s="4">
        <f>Q14-P14</f>
        <v>14.703972014700469</v>
      </c>
      <c r="R15" s="4">
        <f>R14-Q14</f>
        <v>15.4391706154355</v>
      </c>
      <c r="S15" s="4">
        <f>S14-R14</f>
        <v>16.21112914620727</v>
      </c>
      <c r="T15" s="4">
        <f>T14-S14</f>
        <v>17.021685603517597</v>
      </c>
      <c r="U15" s="4">
        <f>U14-T14</f>
        <v>17.87276988369348</v>
      </c>
      <c r="V15" s="4">
        <f>V14-U14</f>
        <v>18.76640837787818</v>
      </c>
      <c r="W15" s="4">
        <f>W14-V14</f>
        <v>19.704728796772088</v>
      </c>
      <c r="X15" s="4">
        <f>X14-W14</f>
        <v>20.689965236610703</v>
      </c>
      <c r="Y15" s="4">
        <f>Y14-X14</f>
        <v>21.724463498441253</v>
      </c>
      <c r="Z15" s="4">
        <f>Z14-Y14</f>
        <v>22.810686673363307</v>
      </c>
      <c r="AA15" s="4">
        <f>AA14-Z14</f>
        <v>23.951221007031506</v>
      </c>
      <c r="AB15" s="4">
        <f>AB14-AA14</f>
        <v>25.148782057383016</v>
      </c>
    </row>
    <row r="16" spans="2:28" ht="15">
      <c r="B16" t="s">
        <v>79</v>
      </c>
      <c r="E16">
        <v>139</v>
      </c>
      <c r="F16" s="4">
        <f>F14/$E9</f>
        <v>151.37099999999998</v>
      </c>
      <c r="G16" s="4">
        <f aca="true" t="shared" si="3" ref="G16:P16">G14/$E9</f>
        <v>164.84301899999997</v>
      </c>
      <c r="H16" s="4">
        <f t="shared" si="3"/>
        <v>179.51404769099997</v>
      </c>
      <c r="I16" s="4">
        <f t="shared" si="3"/>
        <v>195.490797935499</v>
      </c>
      <c r="J16" s="4">
        <f t="shared" si="3"/>
        <v>212.88947895175838</v>
      </c>
      <c r="K16" s="4">
        <f t="shared" si="3"/>
        <v>231.83664257846488</v>
      </c>
      <c r="L16" s="4">
        <f t="shared" si="3"/>
        <v>243.42847470738812</v>
      </c>
      <c r="M16" s="4">
        <f t="shared" si="3"/>
        <v>255.59989844275754</v>
      </c>
      <c r="N16" s="4">
        <f t="shared" si="3"/>
        <v>268.3798933648954</v>
      </c>
      <c r="O16" s="4">
        <f t="shared" si="3"/>
        <v>281.7988880331402</v>
      </c>
      <c r="P16" s="4">
        <f t="shared" si="3"/>
        <v>295.8888324347972</v>
      </c>
      <c r="Q16" s="4">
        <f aca="true" t="shared" si="4" ref="Q16:Z16">Q14/$E9</f>
        <v>310.68327405653713</v>
      </c>
      <c r="R16" s="4">
        <f t="shared" si="4"/>
        <v>326.217437759364</v>
      </c>
      <c r="S16" s="4">
        <f t="shared" si="4"/>
        <v>342.5283096473322</v>
      </c>
      <c r="T16" s="4">
        <f t="shared" si="4"/>
        <v>359.6547251296988</v>
      </c>
      <c r="U16" s="4">
        <f t="shared" si="4"/>
        <v>377.63746138618376</v>
      </c>
      <c r="V16" s="4">
        <f t="shared" si="4"/>
        <v>396.519334455493</v>
      </c>
      <c r="W16" s="4">
        <f t="shared" si="4"/>
        <v>416.3453011782676</v>
      </c>
      <c r="X16" s="4">
        <f t="shared" si="4"/>
        <v>437.162566237181</v>
      </c>
      <c r="Y16" s="4">
        <f t="shared" si="4"/>
        <v>459.0206945490401</v>
      </c>
      <c r="Z16" s="4">
        <f t="shared" si="4"/>
        <v>481.97172927649217</v>
      </c>
      <c r="AA16" s="4">
        <f>AA14/$E9</f>
        <v>506.07031574031686</v>
      </c>
      <c r="AB16" s="4">
        <f>AB14/$E9</f>
        <v>531.3738315273326</v>
      </c>
    </row>
    <row r="18" spans="2:31" ht="15">
      <c r="B18" t="s">
        <v>18</v>
      </c>
      <c r="E18">
        <v>3070</v>
      </c>
      <c r="F18" s="4">
        <f>BoaVistaData!W14</f>
        <v>3343.23</v>
      </c>
      <c r="G18" s="4">
        <f>BoaVistaData!X14</f>
        <v>3640.77747</v>
      </c>
      <c r="H18" s="4">
        <f>BoaVistaData!Y14</f>
        <v>3964.80666483</v>
      </c>
      <c r="I18" s="4">
        <f>BoaVistaData!Z14</f>
        <v>4317.67445799987</v>
      </c>
      <c r="J18" s="4">
        <f>BoaVistaData!AA14</f>
        <v>4701.9474847618585</v>
      </c>
      <c r="K18" s="4">
        <f>IF(BoaVistaData!AB14&gt;$I10,$I10,BoaVistaData!AB14)</f>
        <v>5120.4208109056635</v>
      </c>
      <c r="L18" s="4">
        <f>IF(BoaVistaData!AC14&gt;$I10,$I10,BoaVistaData!AC14)</f>
        <v>5376.441851450947</v>
      </c>
      <c r="M18" s="4">
        <f>IF(BoaVistaData!AD14&gt;$I10,$I10,BoaVistaData!AD14)</f>
        <v>5645.263944023494</v>
      </c>
      <c r="N18" s="4">
        <f>IF(BoaVistaData!AE14&gt;$I10,$I10,BoaVistaData!AE14)</f>
        <v>5927.527141224669</v>
      </c>
      <c r="O18" s="4">
        <f>IF(BoaVistaData!AF14&gt;$I10,$I10,BoaVistaData!AF14)</f>
        <v>6223.903498285903</v>
      </c>
      <c r="P18" s="4">
        <f>IF(BoaVistaData!AG14&gt;$I10,$I10,BoaVistaData!AG14)</f>
        <v>6535.098673200198</v>
      </c>
      <c r="Q18" s="4">
        <f>IF(BoaVistaData!AH14&gt;$I10,$I10,BoaVistaData!AH14)</f>
        <v>6861.853606860209</v>
      </c>
      <c r="R18" s="4">
        <f>IF(BoaVistaData!AI14&gt;$I10,$I10,BoaVistaData!AI14)</f>
        <v>7204.94628720322</v>
      </c>
      <c r="S18" s="4">
        <f>IF(BoaVistaData!AJ14&gt;$I10,$I10,BoaVistaData!AJ14)</f>
        <v>7565.193601563381</v>
      </c>
      <c r="T18" s="4">
        <f>IF(BoaVistaData!AK14&gt;$I10,$I10,BoaVistaData!AK14)</f>
        <v>7943.45328164155</v>
      </c>
      <c r="U18" s="4">
        <f>IF(BoaVistaData!AL14&gt;$I10,$I10,BoaVistaData!AL14)</f>
        <v>8340.625945723628</v>
      </c>
      <c r="V18" s="4">
        <f>IF(BoaVistaData!AM14&gt;$I10,$I10,BoaVistaData!AM14)</f>
        <v>8757.65724300981</v>
      </c>
      <c r="W18" s="4">
        <f>IF(BoaVistaData!AN14&gt;$I10,$I10,BoaVistaData!AN14)</f>
        <v>9195.5401051603</v>
      </c>
      <c r="X18" s="4">
        <f>IF(BoaVistaData!AO14&gt;$I10,$I10,BoaVistaData!AO14)</f>
        <v>9655.317110418317</v>
      </c>
      <c r="Y18" s="4">
        <f>IF(BoaVistaData!AP14&gt;$I10,$I10,BoaVistaData!AP14)</f>
        <v>10138.082965939233</v>
      </c>
      <c r="Z18" s="4">
        <f>IF(BoaVistaData!AQ14&gt;$I10,$I10,BoaVistaData!AQ14)</f>
        <v>10644.987114236195</v>
      </c>
      <c r="AA18" s="4">
        <f>IF(BoaVistaData!AR14&gt;$I10,$I10,BoaVistaData!AR14)</f>
        <v>11177.236469948006</v>
      </c>
      <c r="AB18" s="4">
        <f>IF(BoaVistaData!AS14&gt;$I10,$I10,BoaVistaData!AS14)</f>
        <v>11736.098293445406</v>
      </c>
      <c r="AC18" s="4">
        <f>AB18</f>
        <v>11736.098293445406</v>
      </c>
      <c r="AD18" s="4">
        <f>AC18</f>
        <v>11736.098293445406</v>
      </c>
      <c r="AE18" s="4">
        <f>AD18</f>
        <v>11736.098293445406</v>
      </c>
    </row>
    <row r="19" spans="2:31" ht="15">
      <c r="B19" t="s">
        <v>32</v>
      </c>
      <c r="F19" s="4">
        <f>F18-E18</f>
        <v>273.23</v>
      </c>
      <c r="G19" s="4">
        <f aca="true" t="shared" si="5" ref="G19:AE19">G18-F18</f>
        <v>297.54747</v>
      </c>
      <c r="H19" s="4">
        <f t="shared" si="5"/>
        <v>324.02919483000005</v>
      </c>
      <c r="I19" s="4">
        <f t="shared" si="5"/>
        <v>352.8677931698703</v>
      </c>
      <c r="J19" s="4">
        <f t="shared" si="5"/>
        <v>384.27302676198815</v>
      </c>
      <c r="K19" s="4">
        <f t="shared" si="5"/>
        <v>418.473326143805</v>
      </c>
      <c r="L19" s="4">
        <f t="shared" si="5"/>
        <v>256.02104054528354</v>
      </c>
      <c r="M19" s="4">
        <f t="shared" si="5"/>
        <v>268.82209257254726</v>
      </c>
      <c r="N19" s="4">
        <f t="shared" si="5"/>
        <v>282.263197201175</v>
      </c>
      <c r="O19" s="4">
        <f t="shared" si="5"/>
        <v>296.37635706123365</v>
      </c>
      <c r="P19" s="4">
        <f t="shared" si="5"/>
        <v>311.1951749142954</v>
      </c>
      <c r="Q19" s="4">
        <f t="shared" si="5"/>
        <v>326.75493366001047</v>
      </c>
      <c r="R19" s="4">
        <f t="shared" si="5"/>
        <v>343.0926803430111</v>
      </c>
      <c r="S19" s="4">
        <f t="shared" si="5"/>
        <v>360.247314360161</v>
      </c>
      <c r="T19" s="4">
        <f t="shared" si="5"/>
        <v>378.25968007816937</v>
      </c>
      <c r="U19" s="4">
        <f t="shared" si="5"/>
        <v>397.172664082078</v>
      </c>
      <c r="V19" s="4">
        <f t="shared" si="5"/>
        <v>417.03129728618114</v>
      </c>
      <c r="W19" s="4">
        <f t="shared" si="5"/>
        <v>437.88286215049084</v>
      </c>
      <c r="X19" s="4">
        <f t="shared" si="5"/>
        <v>459.7770052580163</v>
      </c>
      <c r="Y19" s="4">
        <f t="shared" si="5"/>
        <v>482.7658555209164</v>
      </c>
      <c r="Z19" s="4">
        <f>Z18-Y18</f>
        <v>506.9041482969624</v>
      </c>
      <c r="AA19" s="4">
        <f t="shared" si="5"/>
        <v>532.2493557118105</v>
      </c>
      <c r="AB19" s="4">
        <f t="shared" si="5"/>
        <v>558.8618234974001</v>
      </c>
      <c r="AC19" s="4">
        <f t="shared" si="5"/>
        <v>0</v>
      </c>
      <c r="AD19" s="4">
        <f t="shared" si="5"/>
        <v>0</v>
      </c>
      <c r="AE19" s="4">
        <f t="shared" si="5"/>
        <v>0</v>
      </c>
    </row>
    <row r="20" spans="2:31" ht="15">
      <c r="B20" t="s">
        <v>17</v>
      </c>
      <c r="F20" s="3">
        <f>F19/E18</f>
        <v>0.08900000000000001</v>
      </c>
      <c r="G20" s="3">
        <f aca="true" t="shared" si="6" ref="G20:Z20">G19/F18</f>
        <v>0.089</v>
      </c>
      <c r="H20" s="3">
        <f t="shared" si="6"/>
        <v>0.08900000000000001</v>
      </c>
      <c r="I20" s="3">
        <f t="shared" si="6"/>
        <v>0.08900000000000008</v>
      </c>
      <c r="J20" s="3">
        <f t="shared" si="6"/>
        <v>0.08899999999999993</v>
      </c>
      <c r="K20" s="3">
        <f t="shared" si="6"/>
        <v>0.08899999999999991</v>
      </c>
      <c r="L20" s="3">
        <f t="shared" si="6"/>
        <v>0.05000000000000007</v>
      </c>
      <c r="M20" s="3">
        <f t="shared" si="6"/>
        <v>0.04999999999999998</v>
      </c>
      <c r="N20" s="3">
        <f t="shared" si="6"/>
        <v>0.05000000000000005</v>
      </c>
      <c r="O20" s="3">
        <f t="shared" si="6"/>
        <v>0.05000000000000003</v>
      </c>
      <c r="P20" s="3">
        <f t="shared" si="6"/>
        <v>0.050000000000000044</v>
      </c>
      <c r="Q20" s="3">
        <f t="shared" si="6"/>
        <v>0.050000000000000086</v>
      </c>
      <c r="R20" s="3">
        <f t="shared" si="6"/>
        <v>0.0500000000000001</v>
      </c>
      <c r="S20" s="3">
        <f t="shared" si="6"/>
        <v>0.05</v>
      </c>
      <c r="T20" s="3">
        <f t="shared" si="6"/>
        <v>0.050000000000000044</v>
      </c>
      <c r="U20" s="3">
        <f t="shared" si="6"/>
        <v>0.05000000000000006</v>
      </c>
      <c r="V20" s="3">
        <f t="shared" si="6"/>
        <v>0.04999999999999997</v>
      </c>
      <c r="W20" s="3">
        <f t="shared" si="6"/>
        <v>0.050000000000000044</v>
      </c>
      <c r="X20" s="3">
        <f t="shared" si="6"/>
        <v>0.05000000000000014</v>
      </c>
      <c r="Y20" s="3">
        <f t="shared" si="6"/>
        <v>0.05000000000000006</v>
      </c>
      <c r="Z20" s="3">
        <f t="shared" si="6"/>
        <v>0.05000000000000007</v>
      </c>
      <c r="AA20" s="4"/>
      <c r="AB20" s="4"/>
      <c r="AC20" s="4"/>
      <c r="AD20" s="4"/>
      <c r="AE20" s="4"/>
    </row>
    <row r="21" spans="2:26" ht="15">
      <c r="B21" t="s">
        <v>27</v>
      </c>
      <c r="E21" s="4">
        <f aca="true" t="shared" si="7" ref="E21:Z21">E18*365*BVOccupancy</f>
        <v>784385</v>
      </c>
      <c r="F21" s="4">
        <f t="shared" si="7"/>
        <v>854195.2649999999</v>
      </c>
      <c r="G21" s="4">
        <f t="shared" si="7"/>
        <v>930218.643585</v>
      </c>
      <c r="H21" s="4">
        <f t="shared" si="7"/>
        <v>1013008.102864065</v>
      </c>
      <c r="I21" s="4">
        <f t="shared" si="7"/>
        <v>1103165.8240189669</v>
      </c>
      <c r="J21" s="4">
        <f t="shared" si="7"/>
        <v>1201347.5823566548</v>
      </c>
      <c r="K21" s="4">
        <f t="shared" si="7"/>
        <v>1308267.517186397</v>
      </c>
      <c r="L21" s="4">
        <f t="shared" si="7"/>
        <v>1373680.893045717</v>
      </c>
      <c r="M21" s="4">
        <f t="shared" si="7"/>
        <v>1442364.9376980027</v>
      </c>
      <c r="N21" s="4">
        <f t="shared" si="7"/>
        <v>1514483.184582903</v>
      </c>
      <c r="O21" s="4">
        <f t="shared" si="7"/>
        <v>1590207.3438120482</v>
      </c>
      <c r="P21" s="4">
        <f t="shared" si="7"/>
        <v>1669717.7110026504</v>
      </c>
      <c r="Q21" s="4">
        <f t="shared" si="7"/>
        <v>1753203.5965527832</v>
      </c>
      <c r="R21" s="4">
        <f t="shared" si="7"/>
        <v>1840863.7763804228</v>
      </c>
      <c r="S21" s="4">
        <f t="shared" si="7"/>
        <v>1932906.9651994437</v>
      </c>
      <c r="T21" s="4">
        <f t="shared" si="7"/>
        <v>2029552.313459416</v>
      </c>
      <c r="U21" s="4">
        <f t="shared" si="7"/>
        <v>2131029.929132387</v>
      </c>
      <c r="V21" s="4">
        <f t="shared" si="7"/>
        <v>2237581.4255890064</v>
      </c>
      <c r="W21" s="4">
        <f t="shared" si="7"/>
        <v>2349460.4968684567</v>
      </c>
      <c r="X21" s="4">
        <f t="shared" si="7"/>
        <v>2466933.52171188</v>
      </c>
      <c r="Y21" s="4">
        <f t="shared" si="7"/>
        <v>2590280.197797474</v>
      </c>
      <c r="Z21" s="4">
        <f t="shared" si="7"/>
        <v>2719794.2076873477</v>
      </c>
    </row>
    <row r="22" spans="2:26" ht="15">
      <c r="B22" t="s">
        <v>26</v>
      </c>
      <c r="E22" s="7">
        <f aca="true" t="shared" si="8" ref="E22:Z22">E21*SalTourVA</f>
        <v>3646934914.5075</v>
      </c>
      <c r="F22" s="7">
        <f t="shared" si="8"/>
        <v>3971512121.898667</v>
      </c>
      <c r="G22" s="7">
        <f t="shared" si="8"/>
        <v>4324976700.747648</v>
      </c>
      <c r="H22" s="7">
        <f t="shared" si="8"/>
        <v>4709899627.114189</v>
      </c>
      <c r="I22" s="7">
        <f t="shared" si="8"/>
        <v>5129080693.927353</v>
      </c>
      <c r="J22" s="7">
        <f t="shared" si="8"/>
        <v>5585568875.686887</v>
      </c>
      <c r="K22" s="7">
        <f t="shared" si="8"/>
        <v>6082684505.623019</v>
      </c>
      <c r="L22" s="7">
        <f t="shared" si="8"/>
        <v>6386818730.904171</v>
      </c>
      <c r="M22" s="7">
        <f t="shared" si="8"/>
        <v>6706159667.449379</v>
      </c>
      <c r="N22" s="7">
        <f t="shared" si="8"/>
        <v>7041467650.821849</v>
      </c>
      <c r="O22" s="7">
        <f t="shared" si="8"/>
        <v>7393541033.362941</v>
      </c>
      <c r="P22" s="7">
        <f t="shared" si="8"/>
        <v>7763218085.031088</v>
      </c>
      <c r="Q22" s="7">
        <f t="shared" si="8"/>
        <v>8151378989.282642</v>
      </c>
      <c r="R22" s="7">
        <f t="shared" si="8"/>
        <v>8558947938.746777</v>
      </c>
      <c r="S22" s="7">
        <f t="shared" si="8"/>
        <v>8986895335.684114</v>
      </c>
      <c r="T22" s="7">
        <f t="shared" si="8"/>
        <v>9436240102.46832</v>
      </c>
      <c r="U22" s="7">
        <f t="shared" si="8"/>
        <v>9908052107.591738</v>
      </c>
      <c r="V22" s="7">
        <f t="shared" si="8"/>
        <v>10403454712.971325</v>
      </c>
      <c r="W22" s="7">
        <f t="shared" si="8"/>
        <v>10923627448.619892</v>
      </c>
      <c r="X22" s="7">
        <f t="shared" si="8"/>
        <v>11469808821.050888</v>
      </c>
      <c r="Y22" s="7">
        <f t="shared" si="8"/>
        <v>12043299262.103432</v>
      </c>
      <c r="Z22" s="7">
        <f t="shared" si="8"/>
        <v>12645464225.208605</v>
      </c>
    </row>
    <row r="23" spans="2:26" ht="15">
      <c r="B23" t="s">
        <v>40</v>
      </c>
      <c r="E23" s="7">
        <f aca="true" t="shared" si="9" ref="E23:Z23">E22/exrate</f>
        <v>47362791.097500004</v>
      </c>
      <c r="F23" s="7">
        <f t="shared" si="9"/>
        <v>51578079.50517749</v>
      </c>
      <c r="G23" s="7">
        <f t="shared" si="9"/>
        <v>56168528.58113829</v>
      </c>
      <c r="H23" s="7">
        <f t="shared" si="9"/>
        <v>61167527.6248596</v>
      </c>
      <c r="I23" s="7">
        <f t="shared" si="9"/>
        <v>66611437.58347212</v>
      </c>
      <c r="J23" s="7">
        <f t="shared" si="9"/>
        <v>72539855.52840112</v>
      </c>
      <c r="K23" s="7">
        <f t="shared" si="9"/>
        <v>78995902.67042883</v>
      </c>
      <c r="L23" s="7">
        <f t="shared" si="9"/>
        <v>82945697.80395028</v>
      </c>
      <c r="M23" s="7">
        <f t="shared" si="9"/>
        <v>87092982.69414778</v>
      </c>
      <c r="N23" s="7">
        <f t="shared" si="9"/>
        <v>91447631.82885519</v>
      </c>
      <c r="O23" s="7">
        <f t="shared" si="9"/>
        <v>96020013.42029794</v>
      </c>
      <c r="P23" s="7">
        <f t="shared" si="9"/>
        <v>100821014.09131283</v>
      </c>
      <c r="Q23" s="7">
        <f t="shared" si="9"/>
        <v>105862064.79587847</v>
      </c>
      <c r="R23" s="7">
        <f t="shared" si="9"/>
        <v>111155168.03567243</v>
      </c>
      <c r="S23" s="7">
        <f t="shared" si="9"/>
        <v>116712926.43745603</v>
      </c>
      <c r="T23" s="7">
        <f t="shared" si="9"/>
        <v>122548572.75932884</v>
      </c>
      <c r="U23" s="7">
        <f t="shared" si="9"/>
        <v>128676001.3972953</v>
      </c>
      <c r="V23" s="7">
        <f t="shared" si="9"/>
        <v>135109801.46716008</v>
      </c>
      <c r="W23" s="7">
        <f t="shared" si="9"/>
        <v>141865291.54051808</v>
      </c>
      <c r="X23" s="7">
        <f t="shared" si="9"/>
        <v>148958556.117544</v>
      </c>
      <c r="Y23" s="7">
        <f t="shared" si="9"/>
        <v>156406483.9234212</v>
      </c>
      <c r="Z23" s="7">
        <f t="shared" si="9"/>
        <v>164226808.11959228</v>
      </c>
    </row>
    <row r="24" spans="2:26" ht="15">
      <c r="B24" t="s">
        <v>45</v>
      </c>
      <c r="E24" s="7"/>
      <c r="F24" s="7">
        <f aca="true" t="shared" si="10" ref="F24:Z24">F15*ConstructC*ConstructVA</f>
        <v>710056462.4999992</v>
      </c>
      <c r="G24" s="7">
        <f t="shared" si="10"/>
        <v>773251487.6625</v>
      </c>
      <c r="H24" s="7">
        <f t="shared" si="10"/>
        <v>842070870.0644623</v>
      </c>
      <c r="I24" s="7">
        <f t="shared" si="10"/>
        <v>917015177.5002009</v>
      </c>
      <c r="J24" s="7">
        <f t="shared" si="10"/>
        <v>998629528.2977167</v>
      </c>
      <c r="K24" s="7">
        <f t="shared" si="10"/>
        <v>1087507556.316213</v>
      </c>
      <c r="L24" s="7">
        <f t="shared" si="10"/>
        <v>665334679.1170557</v>
      </c>
      <c r="M24" s="7">
        <f t="shared" si="10"/>
        <v>698601413.072908</v>
      </c>
      <c r="N24" s="7">
        <f t="shared" si="10"/>
        <v>733531483.7265524</v>
      </c>
      <c r="O24" s="7">
        <f t="shared" si="10"/>
        <v>770208057.912881</v>
      </c>
      <c r="P24" s="7">
        <f t="shared" si="10"/>
        <v>808718460.8085256</v>
      </c>
      <c r="Q24" s="7">
        <f t="shared" si="10"/>
        <v>849154383.848952</v>
      </c>
      <c r="R24" s="7">
        <f t="shared" si="10"/>
        <v>891612103.0414002</v>
      </c>
      <c r="S24" s="7">
        <f t="shared" si="10"/>
        <v>936192708.1934699</v>
      </c>
      <c r="T24" s="7">
        <f t="shared" si="10"/>
        <v>983002343.6031412</v>
      </c>
      <c r="U24" s="7">
        <f t="shared" si="10"/>
        <v>1032152460.7832984</v>
      </c>
      <c r="V24" s="7">
        <f t="shared" si="10"/>
        <v>1083760083.8224647</v>
      </c>
      <c r="W24" s="7">
        <f t="shared" si="10"/>
        <v>1137948088.013588</v>
      </c>
      <c r="X24" s="7">
        <f t="shared" si="10"/>
        <v>1194845492.414268</v>
      </c>
      <c r="Y24" s="7">
        <f t="shared" si="10"/>
        <v>1254587767.0349824</v>
      </c>
      <c r="Z24" s="7">
        <f t="shared" si="10"/>
        <v>1317317155.386731</v>
      </c>
    </row>
    <row r="25" spans="2:31" ht="15">
      <c r="B25" s="8" t="s">
        <v>46</v>
      </c>
      <c r="C25" s="8"/>
      <c r="D25" s="8"/>
      <c r="E25" s="15"/>
      <c r="F25" s="15">
        <f aca="true" t="shared" si="11" ref="F25:Z25">F24/exrate</f>
        <v>9221512.499999989</v>
      </c>
      <c r="G25" s="15">
        <f t="shared" si="11"/>
        <v>10042227.1125</v>
      </c>
      <c r="H25" s="15">
        <f t="shared" si="11"/>
        <v>10935985.325512497</v>
      </c>
      <c r="I25" s="15">
        <f t="shared" si="11"/>
        <v>11909288.019483129</v>
      </c>
      <c r="J25" s="15">
        <f t="shared" si="11"/>
        <v>12969214.6532171</v>
      </c>
      <c r="K25" s="15">
        <f t="shared" si="11"/>
        <v>14123474.757353414</v>
      </c>
      <c r="L25" s="15">
        <f t="shared" si="11"/>
        <v>8640710.11840332</v>
      </c>
      <c r="M25" s="15">
        <f t="shared" si="11"/>
        <v>9072745.624323482</v>
      </c>
      <c r="N25" s="15">
        <f t="shared" si="11"/>
        <v>9526382.905539641</v>
      </c>
      <c r="O25" s="15">
        <f t="shared" si="11"/>
        <v>10002702.050816637</v>
      </c>
      <c r="P25" s="15">
        <f t="shared" si="11"/>
        <v>10502837.153357474</v>
      </c>
      <c r="Q25" s="15">
        <f t="shared" si="11"/>
        <v>11027979.01102535</v>
      </c>
      <c r="R25" s="15">
        <f t="shared" si="11"/>
        <v>11579377.961576626</v>
      </c>
      <c r="S25" s="15">
        <f t="shared" si="11"/>
        <v>12158346.859655453</v>
      </c>
      <c r="T25" s="15">
        <f t="shared" si="11"/>
        <v>12766264.202638198</v>
      </c>
      <c r="U25" s="15">
        <f t="shared" si="11"/>
        <v>13404577.41277011</v>
      </c>
      <c r="V25" s="15">
        <f t="shared" si="11"/>
        <v>14074806.283408633</v>
      </c>
      <c r="W25" s="15">
        <f t="shared" si="11"/>
        <v>14778546.597579064</v>
      </c>
      <c r="X25" s="15">
        <f t="shared" si="11"/>
        <v>15517473.927458026</v>
      </c>
      <c r="Y25" s="15">
        <f t="shared" si="11"/>
        <v>16293347.62383094</v>
      </c>
      <c r="Z25" s="15">
        <f t="shared" si="11"/>
        <v>17108015.00502248</v>
      </c>
      <c r="AA25" s="8"/>
      <c r="AB25" s="8"/>
      <c r="AC25" s="8"/>
      <c r="AD25" s="8"/>
      <c r="AE25" s="8"/>
    </row>
    <row r="26" spans="2:26" ht="15">
      <c r="B26" t="s">
        <v>47</v>
      </c>
      <c r="E26" s="7">
        <f>E22+E24</f>
        <v>3646934914.5075</v>
      </c>
      <c r="F26" s="7">
        <f>F22+F24</f>
        <v>4681568584.398666</v>
      </c>
      <c r="G26" s="7">
        <f aca="true" t="shared" si="12" ref="G26:Z27">G22+G24</f>
        <v>5098228188.410149</v>
      </c>
      <c r="H26" s="7">
        <f t="shared" si="12"/>
        <v>5551970497.178652</v>
      </c>
      <c r="I26" s="7">
        <f t="shared" si="12"/>
        <v>6046095871.427554</v>
      </c>
      <c r="J26" s="7">
        <f t="shared" si="12"/>
        <v>6584198403.984604</v>
      </c>
      <c r="K26" s="7">
        <f t="shared" si="12"/>
        <v>7170192061.939232</v>
      </c>
      <c r="L26" s="7">
        <f t="shared" si="12"/>
        <v>7052153410.021227</v>
      </c>
      <c r="M26" s="7">
        <f t="shared" si="12"/>
        <v>7404761080.522287</v>
      </c>
      <c r="N26" s="7">
        <f t="shared" si="12"/>
        <v>7774999134.548401</v>
      </c>
      <c r="O26" s="7">
        <f t="shared" si="12"/>
        <v>8163749091.275822</v>
      </c>
      <c r="P26" s="7">
        <f t="shared" si="12"/>
        <v>8571936545.839613</v>
      </c>
      <c r="Q26" s="7">
        <f t="shared" si="12"/>
        <v>9000533373.131594</v>
      </c>
      <c r="R26" s="7">
        <f t="shared" si="12"/>
        <v>9450560041.788177</v>
      </c>
      <c r="S26" s="7">
        <f t="shared" si="12"/>
        <v>9923088043.877584</v>
      </c>
      <c r="T26" s="7">
        <f t="shared" si="12"/>
        <v>10419242446.071463</v>
      </c>
      <c r="U26" s="7">
        <f t="shared" si="12"/>
        <v>10940204568.375036</v>
      </c>
      <c r="V26" s="7">
        <f t="shared" si="12"/>
        <v>11487214796.793789</v>
      </c>
      <c r="W26" s="7">
        <f t="shared" si="12"/>
        <v>12061575536.63348</v>
      </c>
      <c r="X26" s="7">
        <f t="shared" si="12"/>
        <v>12664654313.465157</v>
      </c>
      <c r="Y26" s="7">
        <f t="shared" si="12"/>
        <v>13297887029.138414</v>
      </c>
      <c r="Z26" s="7">
        <f t="shared" si="12"/>
        <v>13962781380.595335</v>
      </c>
    </row>
    <row r="27" spans="2:26" ht="15">
      <c r="B27" t="s">
        <v>48</v>
      </c>
      <c r="E27" s="7">
        <f>E23+E25</f>
        <v>47362791.097500004</v>
      </c>
      <c r="F27" s="7">
        <f>F23+F25</f>
        <v>60799592.00517748</v>
      </c>
      <c r="G27" s="7">
        <f t="shared" si="12"/>
        <v>66210755.693638295</v>
      </c>
      <c r="H27" s="7">
        <f t="shared" si="12"/>
        <v>72103512.9503721</v>
      </c>
      <c r="I27" s="7">
        <f t="shared" si="12"/>
        <v>78520725.60295525</v>
      </c>
      <c r="J27" s="7">
        <f t="shared" si="12"/>
        <v>85509070.18161821</v>
      </c>
      <c r="K27" s="7">
        <f t="shared" si="12"/>
        <v>93119377.42778224</v>
      </c>
      <c r="L27" s="7">
        <f t="shared" si="12"/>
        <v>91586407.9223536</v>
      </c>
      <c r="M27" s="7">
        <f t="shared" si="12"/>
        <v>96165728.31847127</v>
      </c>
      <c r="N27" s="7">
        <f t="shared" si="12"/>
        <v>100974014.73439483</v>
      </c>
      <c r="O27" s="7">
        <f t="shared" si="12"/>
        <v>106022715.47111458</v>
      </c>
      <c r="P27" s="7">
        <f t="shared" si="12"/>
        <v>111323851.2446703</v>
      </c>
      <c r="Q27" s="7">
        <f t="shared" si="12"/>
        <v>116890043.80690382</v>
      </c>
      <c r="R27" s="7">
        <f t="shared" si="12"/>
        <v>122734545.99724905</v>
      </c>
      <c r="S27" s="7">
        <f t="shared" si="12"/>
        <v>128871273.29711148</v>
      </c>
      <c r="T27" s="7">
        <f t="shared" si="12"/>
        <v>135314836.96196705</v>
      </c>
      <c r="U27" s="7">
        <f t="shared" si="12"/>
        <v>142080578.81006542</v>
      </c>
      <c r="V27" s="7">
        <f t="shared" si="12"/>
        <v>149184607.75056872</v>
      </c>
      <c r="W27" s="7">
        <f t="shared" si="12"/>
        <v>156643838.13809714</v>
      </c>
      <c r="X27" s="7">
        <f t="shared" si="12"/>
        <v>164476030.045002</v>
      </c>
      <c r="Y27" s="7">
        <f t="shared" si="12"/>
        <v>172699831.54725215</v>
      </c>
      <c r="Z27" s="7">
        <f t="shared" si="12"/>
        <v>181334823.12461478</v>
      </c>
    </row>
    <row r="29" spans="2:26" ht="15">
      <c r="B29" s="12" t="s">
        <v>30</v>
      </c>
      <c r="E29" s="9" t="s">
        <v>28</v>
      </c>
      <c r="F29">
        <v>0</v>
      </c>
      <c r="G29">
        <v>1</v>
      </c>
      <c r="H29">
        <v>2</v>
      </c>
      <c r="I29">
        <v>3</v>
      </c>
      <c r="J29">
        <v>4</v>
      </c>
      <c r="K29">
        <v>5</v>
      </c>
      <c r="L29">
        <v>6</v>
      </c>
      <c r="M29">
        <v>7</v>
      </c>
      <c r="N29">
        <v>8</v>
      </c>
      <c r="O29">
        <v>9</v>
      </c>
      <c r="P29">
        <v>10</v>
      </c>
      <c r="Q29">
        <v>11</v>
      </c>
      <c r="R29">
        <v>12</v>
      </c>
      <c r="S29">
        <v>13</v>
      </c>
      <c r="T29">
        <v>14</v>
      </c>
      <c r="U29">
        <v>15</v>
      </c>
      <c r="V29">
        <v>16</v>
      </c>
      <c r="W29">
        <v>17</v>
      </c>
      <c r="X29">
        <v>18</v>
      </c>
      <c r="Y29">
        <v>19</v>
      </c>
      <c r="Z29">
        <v>20</v>
      </c>
    </row>
    <row r="30" spans="5:26" ht="15">
      <c r="E30" s="8">
        <v>2010</v>
      </c>
      <c r="F30" s="8">
        <v>2011</v>
      </c>
      <c r="G30" s="8">
        <v>2012</v>
      </c>
      <c r="H30" s="8">
        <v>2013</v>
      </c>
      <c r="I30" s="8">
        <v>2014</v>
      </c>
      <c r="J30" s="8">
        <v>2015</v>
      </c>
      <c r="K30" s="8">
        <v>2016</v>
      </c>
      <c r="L30" s="8">
        <v>2017</v>
      </c>
      <c r="M30" s="8">
        <v>2018</v>
      </c>
      <c r="N30" s="8">
        <v>2019</v>
      </c>
      <c r="O30" s="8">
        <v>2020</v>
      </c>
      <c r="P30" s="8">
        <v>2021</v>
      </c>
      <c r="Q30" s="8">
        <v>2022</v>
      </c>
      <c r="R30" s="8">
        <v>2023</v>
      </c>
      <c r="S30" s="8">
        <v>2024</v>
      </c>
      <c r="T30" s="8">
        <v>2025</v>
      </c>
      <c r="U30" s="8">
        <v>2026</v>
      </c>
      <c r="V30" s="8">
        <v>2027</v>
      </c>
      <c r="W30" s="8">
        <v>2028</v>
      </c>
      <c r="X30" s="8">
        <v>2029</v>
      </c>
      <c r="Y30" s="8">
        <v>2030</v>
      </c>
      <c r="Z30" s="8">
        <v>2031</v>
      </c>
    </row>
    <row r="31" spans="2:4" ht="15">
      <c r="B31" t="s">
        <v>31</v>
      </c>
      <c r="D31" s="355"/>
    </row>
    <row r="32" spans="2:28" ht="15">
      <c r="B32" t="s">
        <v>68</v>
      </c>
      <c r="E32" s="4">
        <f aca="true" t="shared" si="13" ref="E32:O32">E36*$E8</f>
        <v>138.15</v>
      </c>
      <c r="F32" s="4">
        <f t="shared" si="13"/>
        <v>150.44535</v>
      </c>
      <c r="G32" s="4">
        <f t="shared" si="13"/>
        <v>163.83498615</v>
      </c>
      <c r="H32" s="4">
        <f t="shared" si="13"/>
        <v>178.41629991735</v>
      </c>
      <c r="I32" s="4">
        <f t="shared" si="13"/>
        <v>194.29535060999416</v>
      </c>
      <c r="J32" s="4">
        <f t="shared" si="13"/>
        <v>211.58763681428363</v>
      </c>
      <c r="K32" s="4">
        <f t="shared" si="13"/>
        <v>242.5159306565195</v>
      </c>
      <c r="L32" s="4">
        <f t="shared" si="13"/>
        <v>255.21777453057234</v>
      </c>
      <c r="M32" s="4">
        <f t="shared" si="13"/>
        <v>268.55471059832786</v>
      </c>
      <c r="N32" s="4">
        <f t="shared" si="13"/>
        <v>282.55849346947116</v>
      </c>
      <c r="O32" s="4">
        <f t="shared" si="13"/>
        <v>297.2624654841716</v>
      </c>
      <c r="P32" s="4">
        <f aca="true" t="shared" si="14" ref="P32:Y32">P36*$E8</f>
        <v>312.70163609960713</v>
      </c>
      <c r="Q32" s="4">
        <f t="shared" si="14"/>
        <v>328.9127652458144</v>
      </c>
      <c r="R32" s="4">
        <f t="shared" si="14"/>
        <v>345.934450849332</v>
      </c>
      <c r="S32" s="4">
        <f t="shared" si="14"/>
        <v>363.8072207330255</v>
      </c>
      <c r="T32" s="4">
        <f t="shared" si="14"/>
        <v>382.57362911090365</v>
      </c>
      <c r="U32" s="4">
        <f t="shared" si="14"/>
        <v>402.27835790767574</v>
      </c>
      <c r="V32" s="4">
        <f t="shared" si="14"/>
        <v>422.96832314428644</v>
      </c>
      <c r="W32" s="4">
        <f t="shared" si="14"/>
        <v>444.6927866427277</v>
      </c>
      <c r="X32" s="4">
        <f t="shared" si="14"/>
        <v>467.503473316091</v>
      </c>
      <c r="Y32" s="4">
        <f t="shared" si="14"/>
        <v>491.4546943231225</v>
      </c>
      <c r="Z32" s="4">
        <f>Z36*$E8</f>
        <v>516.6034763805055</v>
      </c>
      <c r="AA32" s="4">
        <f>AA36*$E8</f>
        <v>543.0096975407577</v>
      </c>
      <c r="AB32" s="4">
        <f>AB36*$E8</f>
        <v>570.7362297590224</v>
      </c>
    </row>
    <row r="33" spans="2:28" ht="15">
      <c r="B33" t="s">
        <v>70</v>
      </c>
      <c r="F33" s="4">
        <f>F32-E32</f>
        <v>12.295349999999985</v>
      </c>
      <c r="G33" s="4">
        <f aca="true" t="shared" si="15" ref="G33:M33">G32-F32</f>
        <v>13.389636150000001</v>
      </c>
      <c r="H33" s="4">
        <f t="shared" si="15"/>
        <v>14.581313767349997</v>
      </c>
      <c r="I33" s="4">
        <f t="shared" si="15"/>
        <v>15.87905069264417</v>
      </c>
      <c r="J33" s="4">
        <f t="shared" si="15"/>
        <v>17.292286204289468</v>
      </c>
      <c r="K33" s="4">
        <f t="shared" si="15"/>
        <v>30.92829384223586</v>
      </c>
      <c r="L33" s="4">
        <f t="shared" si="15"/>
        <v>12.701843874052855</v>
      </c>
      <c r="M33" s="4">
        <f t="shared" si="15"/>
        <v>13.336936067755516</v>
      </c>
      <c r="N33" s="4">
        <f>N32-M32</f>
        <v>14.0037828711433</v>
      </c>
      <c r="O33" s="4">
        <f>O32-N32</f>
        <v>14.703972014700469</v>
      </c>
      <c r="P33" s="4">
        <f aca="true" t="shared" si="16" ref="P33:Z33">P32-O32</f>
        <v>15.4391706154355</v>
      </c>
      <c r="Q33" s="4">
        <f t="shared" si="16"/>
        <v>16.21112914620727</v>
      </c>
      <c r="R33" s="4">
        <f t="shared" si="16"/>
        <v>17.021685603517597</v>
      </c>
      <c r="S33" s="4">
        <f t="shared" si="16"/>
        <v>17.87276988369348</v>
      </c>
      <c r="T33" s="4">
        <f t="shared" si="16"/>
        <v>18.76640837787818</v>
      </c>
      <c r="U33" s="4">
        <f t="shared" si="16"/>
        <v>19.704728796772088</v>
      </c>
      <c r="V33" s="4">
        <f t="shared" si="16"/>
        <v>20.689965236610703</v>
      </c>
      <c r="W33" s="4">
        <f t="shared" si="16"/>
        <v>21.724463498441253</v>
      </c>
      <c r="X33" s="4">
        <f t="shared" si="16"/>
        <v>22.810686673363307</v>
      </c>
      <c r="Y33" s="4">
        <f t="shared" si="16"/>
        <v>23.951221007031506</v>
      </c>
      <c r="Z33" s="4">
        <f t="shared" si="16"/>
        <v>25.148782057383016</v>
      </c>
      <c r="AA33" s="4">
        <f>AA32-Z32</f>
        <v>26.40622116025213</v>
      </c>
      <c r="AB33" s="4">
        <f>AB32-AA32</f>
        <v>27.726532218264765</v>
      </c>
    </row>
    <row r="34" spans="2:28" ht="15">
      <c r="B34" t="s">
        <v>79</v>
      </c>
      <c r="E34">
        <f>E16</f>
        <v>139</v>
      </c>
      <c r="F34" s="4">
        <f>F32/$E9</f>
        <v>151.37099999999998</v>
      </c>
      <c r="G34" s="4">
        <f aca="true" t="shared" si="17" ref="G34:N34">G32/$E9</f>
        <v>164.84301899999997</v>
      </c>
      <c r="H34" s="4">
        <f t="shared" si="17"/>
        <v>179.51404769099997</v>
      </c>
      <c r="I34" s="4">
        <f t="shared" si="17"/>
        <v>195.490797935499</v>
      </c>
      <c r="J34" s="4">
        <f t="shared" si="17"/>
        <v>212.88947895175838</v>
      </c>
      <c r="K34" s="4">
        <f t="shared" si="17"/>
        <v>244.0080663138343</v>
      </c>
      <c r="L34" s="4">
        <f t="shared" si="17"/>
        <v>256.7880612359721</v>
      </c>
      <c r="M34" s="4">
        <f t="shared" si="17"/>
        <v>270.20705590421693</v>
      </c>
      <c r="N34" s="4">
        <f t="shared" si="17"/>
        <v>284.29700030587395</v>
      </c>
      <c r="O34" s="4">
        <f>O32/$E9</f>
        <v>299.09144192761386</v>
      </c>
      <c r="P34" s="4">
        <f aca="true" t="shared" si="18" ref="P34:Z34">P32/$E9</f>
        <v>314.62560563044076</v>
      </c>
      <c r="Q34" s="4">
        <f t="shared" si="18"/>
        <v>330.93647751840894</v>
      </c>
      <c r="R34" s="4">
        <f t="shared" si="18"/>
        <v>348.06289300077555</v>
      </c>
      <c r="S34" s="4">
        <f t="shared" si="18"/>
        <v>366.0456292572605</v>
      </c>
      <c r="T34" s="4">
        <f t="shared" si="18"/>
        <v>384.9275023265697</v>
      </c>
      <c r="U34" s="4">
        <f t="shared" si="18"/>
        <v>404.75346904934435</v>
      </c>
      <c r="V34" s="4">
        <f t="shared" si="18"/>
        <v>425.5707341082578</v>
      </c>
      <c r="W34" s="4">
        <f t="shared" si="18"/>
        <v>447.42886242011684</v>
      </c>
      <c r="X34" s="4">
        <f t="shared" si="18"/>
        <v>470.3798971475689</v>
      </c>
      <c r="Y34" s="4">
        <f t="shared" si="18"/>
        <v>494.4784836113936</v>
      </c>
      <c r="Z34" s="4">
        <f t="shared" si="18"/>
        <v>519.7819993984094</v>
      </c>
      <c r="AA34" s="4">
        <f>AA32/$E9</f>
        <v>546.3506909747761</v>
      </c>
      <c r="AB34" s="4">
        <f>AB32/$E9</f>
        <v>574.2478171299609</v>
      </c>
    </row>
    <row r="35" ht="15">
      <c r="K35" s="4"/>
    </row>
    <row r="36" spans="2:28" ht="15">
      <c r="B36" t="s">
        <v>18</v>
      </c>
      <c r="E36" s="4">
        <f>E18</f>
        <v>3070</v>
      </c>
      <c r="F36" s="4">
        <f>BoaVistaData!W17</f>
        <v>3343.23</v>
      </c>
      <c r="G36" s="4">
        <f>BoaVistaData!X17</f>
        <v>3640.77747</v>
      </c>
      <c r="H36" s="4">
        <f>BoaVistaData!Y17</f>
        <v>3964.80666483</v>
      </c>
      <c r="I36" s="4">
        <f>BoaVistaData!Z17</f>
        <v>4317.67445799987</v>
      </c>
      <c r="J36" s="4">
        <f>BoaVistaData!AA17</f>
        <v>4701.9474847618585</v>
      </c>
      <c r="K36" s="4">
        <f>IF(BoaVistaData!AB17&gt;$I10,$I10,BoaVistaData!AB17)</f>
        <v>5389.242903478211</v>
      </c>
      <c r="L36" s="4">
        <f>IF(BoaVistaData!AC17&gt;$I10,$I10,BoaVistaData!AC17)</f>
        <v>5671.506100679386</v>
      </c>
      <c r="M36" s="4">
        <f>IF(BoaVistaData!AD17&gt;$I10,$I10,BoaVistaData!AD17)</f>
        <v>5967.882457740619</v>
      </c>
      <c r="N36" s="4">
        <f>IF(BoaVistaData!AE17&gt;$I10,$I10,BoaVistaData!AE17)</f>
        <v>6279.077632654915</v>
      </c>
      <c r="O36" s="4">
        <f>IF(BoaVistaData!AF17&gt;$I10,$I10,BoaVistaData!AF17)</f>
        <v>6605.832566314925</v>
      </c>
      <c r="P36" s="4">
        <f>IF(BoaVistaData!AG17&gt;$I10,$I10,BoaVistaData!AG17)</f>
        <v>6948.925246657936</v>
      </c>
      <c r="Q36" s="4">
        <f>IF(BoaVistaData!AH17&gt;$I10,$I10,BoaVistaData!AH17)</f>
        <v>7309.172561018097</v>
      </c>
      <c r="R36" s="4">
        <f>IF(BoaVistaData!AI17&gt;$I10,$I10,BoaVistaData!AI17)</f>
        <v>7687.432241096267</v>
      </c>
      <c r="S36" s="4">
        <f>IF(BoaVistaData!AJ17&gt;$I10,$I10,BoaVistaData!AJ17)</f>
        <v>8084.604905178345</v>
      </c>
      <c r="T36" s="4">
        <f>IF(BoaVistaData!AK17&gt;$I10,$I10,BoaVistaData!AK17)</f>
        <v>8501.636202464526</v>
      </c>
      <c r="U36" s="4">
        <f>IF(BoaVistaData!AL17&gt;$I10,$I10,BoaVistaData!AL17)</f>
        <v>8939.519064615017</v>
      </c>
      <c r="V36" s="4">
        <f>IF(BoaVistaData!AM17&gt;$I10,$I10,BoaVistaData!AM17)</f>
        <v>9399.296069873033</v>
      </c>
      <c r="W36" s="4">
        <f>IF(BoaVistaData!AN17&gt;$I10,$I10,BoaVistaData!AN17)</f>
        <v>9882.06192539395</v>
      </c>
      <c r="X36" s="4">
        <f>IF(BoaVistaData!AO17&gt;$I10,$I10,BoaVistaData!AO17)</f>
        <v>10388.966073690912</v>
      </c>
      <c r="Y36" s="4">
        <f>IF(BoaVistaData!AP17&gt;$I10,$I10,BoaVistaData!AP17)</f>
        <v>10921.215429402722</v>
      </c>
      <c r="Z36" s="4">
        <f>IF(BoaVistaData!AQ17&gt;$I10,$I10,BoaVistaData!AQ17)</f>
        <v>11480.077252900122</v>
      </c>
      <c r="AA36" s="4">
        <f>IF(BoaVistaData!AR17&gt;$I10,$I10,BoaVistaData!AR17)</f>
        <v>12066.882167572394</v>
      </c>
      <c r="AB36" s="4">
        <f>IF(BoaVistaData!AS17&gt;$I10,$I10,BoaVistaData!AS17)</f>
        <v>12683.027327978278</v>
      </c>
    </row>
    <row r="37" spans="2:31" ht="15">
      <c r="B37" t="s">
        <v>32</v>
      </c>
      <c r="F37" s="4">
        <f>F36-E36</f>
        <v>273.23</v>
      </c>
      <c r="G37" s="4">
        <f aca="true" t="shared" si="19" ref="G37:Z37">G36-F36</f>
        <v>297.54747</v>
      </c>
      <c r="H37" s="4">
        <f t="shared" si="19"/>
        <v>324.02919483000005</v>
      </c>
      <c r="I37" s="4">
        <f t="shared" si="19"/>
        <v>352.8677931698703</v>
      </c>
      <c r="J37" s="4">
        <f t="shared" si="19"/>
        <v>384.27302676198815</v>
      </c>
      <c r="K37" s="4">
        <f t="shared" si="19"/>
        <v>687.2954187163523</v>
      </c>
      <c r="L37" s="4">
        <f t="shared" si="19"/>
        <v>282.263197201175</v>
      </c>
      <c r="M37" s="4">
        <f t="shared" si="19"/>
        <v>296.37635706123365</v>
      </c>
      <c r="N37" s="4">
        <f t="shared" si="19"/>
        <v>311.1951749142954</v>
      </c>
      <c r="O37" s="4">
        <f t="shared" si="19"/>
        <v>326.75493366001047</v>
      </c>
      <c r="P37" s="4">
        <f t="shared" si="19"/>
        <v>343.0926803430111</v>
      </c>
      <c r="Q37" s="4">
        <f t="shared" si="19"/>
        <v>360.247314360161</v>
      </c>
      <c r="R37" s="4">
        <f t="shared" si="19"/>
        <v>378.25968007816937</v>
      </c>
      <c r="S37" s="4">
        <f t="shared" si="19"/>
        <v>397.172664082078</v>
      </c>
      <c r="T37" s="4">
        <f t="shared" si="19"/>
        <v>417.03129728618114</v>
      </c>
      <c r="U37" s="4">
        <f t="shared" si="19"/>
        <v>437.88286215049084</v>
      </c>
      <c r="V37" s="4">
        <f t="shared" si="19"/>
        <v>459.7770052580163</v>
      </c>
      <c r="W37" s="4">
        <f t="shared" si="19"/>
        <v>482.7658555209164</v>
      </c>
      <c r="X37" s="4">
        <f t="shared" si="19"/>
        <v>506.9041482969624</v>
      </c>
      <c r="Y37" s="4">
        <f t="shared" si="19"/>
        <v>532.2493557118105</v>
      </c>
      <c r="Z37" s="4">
        <f t="shared" si="19"/>
        <v>558.8618234974001</v>
      </c>
      <c r="AA37" s="4"/>
      <c r="AB37" s="4"/>
      <c r="AC37" s="4"/>
      <c r="AD37" s="4"/>
      <c r="AE37" s="4"/>
    </row>
    <row r="38" spans="2:31" ht="15">
      <c r="B38" t="s">
        <v>17</v>
      </c>
      <c r="F38" s="3">
        <f>F37/E36</f>
        <v>0.08900000000000001</v>
      </c>
      <c r="G38" s="3">
        <f aca="true" t="shared" si="20" ref="G38:Z38">G37/F36</f>
        <v>0.089</v>
      </c>
      <c r="H38" s="3">
        <f t="shared" si="20"/>
        <v>0.08900000000000001</v>
      </c>
      <c r="I38" s="3">
        <f t="shared" si="20"/>
        <v>0.08900000000000008</v>
      </c>
      <c r="J38" s="3">
        <f t="shared" si="20"/>
        <v>0.08899999999999993</v>
      </c>
      <c r="K38" s="3">
        <f t="shared" si="20"/>
        <v>0.1461724999999999</v>
      </c>
      <c r="L38" s="3">
        <f t="shared" si="20"/>
        <v>0.05237529691211407</v>
      </c>
      <c r="M38" s="3">
        <f t="shared" si="20"/>
        <v>0.05225708159349964</v>
      </c>
      <c r="N38" s="3">
        <f t="shared" si="20"/>
        <v>0.05214499064247837</v>
      </c>
      <c r="O38" s="3">
        <f t="shared" si="20"/>
        <v>0.052038683509930135</v>
      </c>
      <c r="P38" s="3">
        <f t="shared" si="20"/>
        <v>0.05193784082456785</v>
      </c>
      <c r="Q38" s="3">
        <f t="shared" si="20"/>
        <v>0.05184216286301552</v>
      </c>
      <c r="R38" s="3">
        <f t="shared" si="20"/>
        <v>0.05175136815014276</v>
      </c>
      <c r="S38" s="3">
        <f t="shared" si="20"/>
        <v>0.05166519217676241</v>
      </c>
      <c r="T38" s="3">
        <f t="shared" si="20"/>
        <v>0.051583386223248165</v>
      </c>
      <c r="U38" s="3">
        <f t="shared" si="20"/>
        <v>0.05150571627889155</v>
      </c>
      <c r="V38" s="3">
        <f t="shared" si="20"/>
        <v>0.05143196204792889</v>
      </c>
      <c r="W38" s="3">
        <f t="shared" si="20"/>
        <v>0.05136191603414804</v>
      </c>
      <c r="X38" s="3">
        <f t="shared" si="20"/>
        <v>0.05129538269684083</v>
      </c>
      <c r="Y38" s="3">
        <f t="shared" si="20"/>
        <v>0.05123217767162436</v>
      </c>
      <c r="Z38" s="3">
        <f t="shared" si="20"/>
        <v>0.05117212705032814</v>
      </c>
      <c r="AA38" s="4"/>
      <c r="AB38" s="4"/>
      <c r="AC38" s="4"/>
      <c r="AD38" s="4"/>
      <c r="AE38" s="4"/>
    </row>
    <row r="39" spans="2:26" ht="15">
      <c r="B39" t="s">
        <v>27</v>
      </c>
      <c r="E39" s="4">
        <f aca="true" t="shared" si="21" ref="E39:Z39">E36*365*BVOccupancy</f>
        <v>784385</v>
      </c>
      <c r="F39" s="4">
        <f t="shared" si="21"/>
        <v>854195.2649999999</v>
      </c>
      <c r="G39" s="4">
        <f t="shared" si="21"/>
        <v>930218.643585</v>
      </c>
      <c r="H39" s="4">
        <f t="shared" si="21"/>
        <v>1013008.102864065</v>
      </c>
      <c r="I39" s="4">
        <f t="shared" si="21"/>
        <v>1103165.8240189669</v>
      </c>
      <c r="J39" s="4">
        <f t="shared" si="21"/>
        <v>1201347.5823566548</v>
      </c>
      <c r="K39" s="4">
        <f t="shared" si="21"/>
        <v>1376951.5618386827</v>
      </c>
      <c r="L39" s="4">
        <f t="shared" si="21"/>
        <v>1449069.8087235831</v>
      </c>
      <c r="M39" s="4">
        <f t="shared" si="21"/>
        <v>1524793.967952728</v>
      </c>
      <c r="N39" s="4">
        <f t="shared" si="21"/>
        <v>1604304.3351433307</v>
      </c>
      <c r="O39" s="4">
        <f t="shared" si="21"/>
        <v>1687790.2206934635</v>
      </c>
      <c r="P39" s="4">
        <f t="shared" si="21"/>
        <v>1775450.4005211026</v>
      </c>
      <c r="Q39" s="4">
        <f t="shared" si="21"/>
        <v>1867493.5893401238</v>
      </c>
      <c r="R39" s="4">
        <f t="shared" si="21"/>
        <v>1964138.9376000962</v>
      </c>
      <c r="S39" s="4">
        <f t="shared" si="21"/>
        <v>2065616.5532730669</v>
      </c>
      <c r="T39" s="4">
        <f t="shared" si="21"/>
        <v>2172168.049729686</v>
      </c>
      <c r="U39" s="4">
        <f t="shared" si="21"/>
        <v>2284047.1210091366</v>
      </c>
      <c r="V39" s="4">
        <f t="shared" si="21"/>
        <v>2401520.1458525597</v>
      </c>
      <c r="W39" s="4">
        <f t="shared" si="21"/>
        <v>2524866.821938154</v>
      </c>
      <c r="X39" s="4">
        <f t="shared" si="21"/>
        <v>2654380.831828028</v>
      </c>
      <c r="Y39" s="4">
        <f t="shared" si="21"/>
        <v>2790370.5422123955</v>
      </c>
      <c r="Z39" s="4">
        <f t="shared" si="21"/>
        <v>2933159.738115981</v>
      </c>
    </row>
    <row r="40" spans="2:26" ht="15">
      <c r="B40" t="s">
        <v>50</v>
      </c>
      <c r="E40" s="7">
        <f aca="true" t="shared" si="22" ref="E40:Z40">E39*SalTourVA</f>
        <v>3646934914.5075</v>
      </c>
      <c r="F40" s="7">
        <f t="shared" si="22"/>
        <v>3971512121.898667</v>
      </c>
      <c r="G40" s="7">
        <f t="shared" si="22"/>
        <v>4324976700.747648</v>
      </c>
      <c r="H40" s="7">
        <f t="shared" si="22"/>
        <v>4709899627.114189</v>
      </c>
      <c r="I40" s="7">
        <f t="shared" si="22"/>
        <v>5129080693.927353</v>
      </c>
      <c r="J40" s="7">
        <f t="shared" si="22"/>
        <v>5585568875.686887</v>
      </c>
      <c r="K40" s="7">
        <f t="shared" si="22"/>
        <v>6402025442.168227</v>
      </c>
      <c r="L40" s="7">
        <f t="shared" si="22"/>
        <v>6737333425.540697</v>
      </c>
      <c r="M40" s="7">
        <f t="shared" si="22"/>
        <v>7089406808.081789</v>
      </c>
      <c r="N40" s="7">
        <f t="shared" si="22"/>
        <v>7459083859.749937</v>
      </c>
      <c r="O40" s="7">
        <f t="shared" si="22"/>
        <v>7847244764.0014925</v>
      </c>
      <c r="P40" s="7">
        <f t="shared" si="22"/>
        <v>8254813713.465625</v>
      </c>
      <c r="Q40" s="7">
        <f t="shared" si="22"/>
        <v>8682761110.402964</v>
      </c>
      <c r="R40" s="7">
        <f t="shared" si="22"/>
        <v>9132105877.18717</v>
      </c>
      <c r="S40" s="7">
        <f t="shared" si="22"/>
        <v>9603917882.310585</v>
      </c>
      <c r="T40" s="7">
        <f t="shared" si="22"/>
        <v>10099320487.690172</v>
      </c>
      <c r="U40" s="7">
        <f t="shared" si="22"/>
        <v>10619493223.33874</v>
      </c>
      <c r="V40" s="7">
        <f t="shared" si="22"/>
        <v>11165674595.769735</v>
      </c>
      <c r="W40" s="7">
        <f t="shared" si="22"/>
        <v>11739165036.82228</v>
      </c>
      <c r="X40" s="7">
        <f t="shared" si="22"/>
        <v>12341329999.927454</v>
      </c>
      <c r="Y40" s="7">
        <f t="shared" si="22"/>
        <v>12973603211.187885</v>
      </c>
      <c r="Z40" s="7">
        <f t="shared" si="22"/>
        <v>13637490083.011335</v>
      </c>
    </row>
    <row r="41" spans="2:26" ht="15">
      <c r="B41" t="s">
        <v>51</v>
      </c>
      <c r="E41" s="7">
        <f aca="true" t="shared" si="23" ref="E41:Z41">E40/exrate</f>
        <v>47362791.097500004</v>
      </c>
      <c r="F41" s="7">
        <f t="shared" si="23"/>
        <v>51578079.50517749</v>
      </c>
      <c r="G41" s="7">
        <f t="shared" si="23"/>
        <v>56168528.58113829</v>
      </c>
      <c r="H41" s="7">
        <f t="shared" si="23"/>
        <v>61167527.6248596</v>
      </c>
      <c r="I41" s="7">
        <f t="shared" si="23"/>
        <v>66611437.58347212</v>
      </c>
      <c r="J41" s="7">
        <f t="shared" si="23"/>
        <v>72539855.52840112</v>
      </c>
      <c r="K41" s="7">
        <f t="shared" si="23"/>
        <v>83143187.56062633</v>
      </c>
      <c r="L41" s="7">
        <f t="shared" si="23"/>
        <v>87497836.69533373</v>
      </c>
      <c r="M41" s="7">
        <f t="shared" si="23"/>
        <v>92070218.28677648</v>
      </c>
      <c r="N41" s="7">
        <f t="shared" si="23"/>
        <v>96871218.95779139</v>
      </c>
      <c r="O41" s="7">
        <f t="shared" si="23"/>
        <v>101912269.66235705</v>
      </c>
      <c r="P41" s="7">
        <f t="shared" si="23"/>
        <v>107205372.90215097</v>
      </c>
      <c r="Q41" s="7">
        <f t="shared" si="23"/>
        <v>112763131.30393459</v>
      </c>
      <c r="R41" s="7">
        <f t="shared" si="23"/>
        <v>118598777.6258074</v>
      </c>
      <c r="S41" s="7">
        <f t="shared" si="23"/>
        <v>124726206.26377383</v>
      </c>
      <c r="T41" s="7">
        <f t="shared" si="23"/>
        <v>131160006.3336386</v>
      </c>
      <c r="U41" s="7">
        <f t="shared" si="23"/>
        <v>137915496.4069966</v>
      </c>
      <c r="V41" s="7">
        <f t="shared" si="23"/>
        <v>145008760.98402253</v>
      </c>
      <c r="W41" s="7">
        <f t="shared" si="23"/>
        <v>152456688.78989977</v>
      </c>
      <c r="X41" s="7">
        <f t="shared" si="23"/>
        <v>160277012.98607084</v>
      </c>
      <c r="Y41" s="7">
        <f t="shared" si="23"/>
        <v>168488353.39205045</v>
      </c>
      <c r="Z41" s="7">
        <f t="shared" si="23"/>
        <v>177110260.81832904</v>
      </c>
    </row>
    <row r="42" spans="2:26" ht="15">
      <c r="B42" t="s">
        <v>45</v>
      </c>
      <c r="E42" s="7"/>
      <c r="F42" s="7">
        <f aca="true" t="shared" si="24" ref="F42:Z42">F33*ConstructC*ConstructVA</f>
        <v>710056462.4999992</v>
      </c>
      <c r="G42" s="7">
        <f t="shared" si="24"/>
        <v>773251487.6625</v>
      </c>
      <c r="H42" s="7">
        <f t="shared" si="24"/>
        <v>842070870.0644623</v>
      </c>
      <c r="I42" s="7">
        <f t="shared" si="24"/>
        <v>917015177.5002009</v>
      </c>
      <c r="J42" s="7">
        <f t="shared" si="24"/>
        <v>998629528.2977167</v>
      </c>
      <c r="K42" s="7">
        <f t="shared" si="24"/>
        <v>1786108969.3891208</v>
      </c>
      <c r="L42" s="7">
        <f t="shared" si="24"/>
        <v>733531483.7265524</v>
      </c>
      <c r="M42" s="7">
        <f t="shared" si="24"/>
        <v>770208057.912881</v>
      </c>
      <c r="N42" s="7">
        <f t="shared" si="24"/>
        <v>808718460.8085256</v>
      </c>
      <c r="O42" s="7">
        <f t="shared" si="24"/>
        <v>849154383.848952</v>
      </c>
      <c r="P42" s="7">
        <f t="shared" si="24"/>
        <v>891612103.0414002</v>
      </c>
      <c r="Q42" s="7">
        <f t="shared" si="24"/>
        <v>936192708.1934699</v>
      </c>
      <c r="R42" s="7">
        <f t="shared" si="24"/>
        <v>983002343.6031412</v>
      </c>
      <c r="S42" s="7">
        <f t="shared" si="24"/>
        <v>1032152460.7832984</v>
      </c>
      <c r="T42" s="7">
        <f t="shared" si="24"/>
        <v>1083760083.8224647</v>
      </c>
      <c r="U42" s="7">
        <f t="shared" si="24"/>
        <v>1137948088.013588</v>
      </c>
      <c r="V42" s="7">
        <f t="shared" si="24"/>
        <v>1194845492.414268</v>
      </c>
      <c r="W42" s="7">
        <f t="shared" si="24"/>
        <v>1254587767.0349824</v>
      </c>
      <c r="X42" s="7">
        <f t="shared" si="24"/>
        <v>1317317155.386731</v>
      </c>
      <c r="Y42" s="7">
        <f t="shared" si="24"/>
        <v>1383183013.1560695</v>
      </c>
      <c r="Z42" s="7">
        <f t="shared" si="24"/>
        <v>1452342163.8138692</v>
      </c>
    </row>
    <row r="43" spans="2:31" ht="15">
      <c r="B43" s="8" t="s">
        <v>46</v>
      </c>
      <c r="C43" s="8"/>
      <c r="D43" s="8"/>
      <c r="E43" s="15"/>
      <c r="F43" s="15">
        <f aca="true" t="shared" si="25" ref="F43:Z43">F42/exrate</f>
        <v>9221512.499999989</v>
      </c>
      <c r="G43" s="15">
        <f t="shared" si="25"/>
        <v>10042227.1125</v>
      </c>
      <c r="H43" s="15">
        <f t="shared" si="25"/>
        <v>10935985.325512497</v>
      </c>
      <c r="I43" s="15">
        <f t="shared" si="25"/>
        <v>11909288.019483129</v>
      </c>
      <c r="J43" s="15">
        <f t="shared" si="25"/>
        <v>12969214.6532171</v>
      </c>
      <c r="K43" s="15">
        <f t="shared" si="25"/>
        <v>23196220.381676894</v>
      </c>
      <c r="L43" s="15">
        <f t="shared" si="25"/>
        <v>9526382.905539641</v>
      </c>
      <c r="M43" s="15">
        <f t="shared" si="25"/>
        <v>10002702.050816637</v>
      </c>
      <c r="N43" s="15">
        <f t="shared" si="25"/>
        <v>10502837.153357474</v>
      </c>
      <c r="O43" s="15">
        <f t="shared" si="25"/>
        <v>11027979.01102535</v>
      </c>
      <c r="P43" s="15">
        <f t="shared" si="25"/>
        <v>11579377.961576626</v>
      </c>
      <c r="Q43" s="15">
        <f t="shared" si="25"/>
        <v>12158346.859655453</v>
      </c>
      <c r="R43" s="15">
        <f t="shared" si="25"/>
        <v>12766264.202638198</v>
      </c>
      <c r="S43" s="15">
        <f t="shared" si="25"/>
        <v>13404577.41277011</v>
      </c>
      <c r="T43" s="15">
        <f t="shared" si="25"/>
        <v>14074806.283408633</v>
      </c>
      <c r="U43" s="15">
        <f t="shared" si="25"/>
        <v>14778546.597579064</v>
      </c>
      <c r="V43" s="15">
        <f t="shared" si="25"/>
        <v>15517473.927458026</v>
      </c>
      <c r="W43" s="15">
        <f t="shared" si="25"/>
        <v>16293347.62383094</v>
      </c>
      <c r="X43" s="15">
        <f t="shared" si="25"/>
        <v>17108015.00502248</v>
      </c>
      <c r="Y43" s="15">
        <f t="shared" si="25"/>
        <v>17963415.75527363</v>
      </c>
      <c r="Z43" s="15">
        <f t="shared" si="25"/>
        <v>18861586.54303726</v>
      </c>
      <c r="AA43" s="8"/>
      <c r="AB43" s="8"/>
      <c r="AC43" s="8"/>
      <c r="AD43" s="8"/>
      <c r="AE43" s="8"/>
    </row>
    <row r="44" spans="2:26" ht="15">
      <c r="B44" t="s">
        <v>47</v>
      </c>
      <c r="E44" s="7"/>
      <c r="F44" s="7">
        <f aca="true" t="shared" si="26" ref="F44:Z45">F40+F42</f>
        <v>4681568584.398666</v>
      </c>
      <c r="G44" s="7">
        <f t="shared" si="26"/>
        <v>5098228188.410149</v>
      </c>
      <c r="H44" s="7">
        <f t="shared" si="26"/>
        <v>5551970497.178652</v>
      </c>
      <c r="I44" s="7">
        <f t="shared" si="26"/>
        <v>6046095871.427554</v>
      </c>
      <c r="J44" s="7">
        <f t="shared" si="26"/>
        <v>6584198403.984604</v>
      </c>
      <c r="K44" s="7">
        <f t="shared" si="26"/>
        <v>8188134411.557348</v>
      </c>
      <c r="L44" s="7">
        <f t="shared" si="26"/>
        <v>7470864909.267249</v>
      </c>
      <c r="M44" s="7">
        <f t="shared" si="26"/>
        <v>7859614865.99467</v>
      </c>
      <c r="N44" s="7">
        <f t="shared" si="26"/>
        <v>8267802320.558462</v>
      </c>
      <c r="O44" s="7">
        <f t="shared" si="26"/>
        <v>8696399147.850445</v>
      </c>
      <c r="P44" s="7">
        <f t="shared" si="26"/>
        <v>9146425816.507025</v>
      </c>
      <c r="Q44" s="7">
        <f t="shared" si="26"/>
        <v>9618953818.596434</v>
      </c>
      <c r="R44" s="7">
        <f t="shared" si="26"/>
        <v>10115108220.790312</v>
      </c>
      <c r="S44" s="7">
        <f t="shared" si="26"/>
        <v>10636070343.093884</v>
      </c>
      <c r="T44" s="7">
        <f t="shared" si="26"/>
        <v>11183080571.512636</v>
      </c>
      <c r="U44" s="7">
        <f t="shared" si="26"/>
        <v>11757441311.352327</v>
      </c>
      <c r="V44" s="7">
        <f t="shared" si="26"/>
        <v>12360520088.184004</v>
      </c>
      <c r="W44" s="7">
        <f t="shared" si="26"/>
        <v>12993752803.857264</v>
      </c>
      <c r="X44" s="7">
        <f t="shared" si="26"/>
        <v>13658647155.314184</v>
      </c>
      <c r="Y44" s="7">
        <f t="shared" si="26"/>
        <v>14356786224.343954</v>
      </c>
      <c r="Z44" s="7">
        <f t="shared" si="26"/>
        <v>15089832246.825205</v>
      </c>
    </row>
    <row r="45" spans="2:26" ht="15">
      <c r="B45" t="s">
        <v>48</v>
      </c>
      <c r="E45" s="7"/>
      <c r="F45" s="7">
        <f t="shared" si="26"/>
        <v>60799592.00517748</v>
      </c>
      <c r="G45" s="7">
        <f t="shared" si="26"/>
        <v>66210755.693638295</v>
      </c>
      <c r="H45" s="7">
        <f t="shared" si="26"/>
        <v>72103512.9503721</v>
      </c>
      <c r="I45" s="7">
        <f t="shared" si="26"/>
        <v>78520725.60295525</v>
      </c>
      <c r="J45" s="7">
        <f t="shared" si="26"/>
        <v>85509070.18161821</v>
      </c>
      <c r="K45" s="7">
        <f t="shared" si="26"/>
        <v>106339407.94230323</v>
      </c>
      <c r="L45" s="7">
        <f t="shared" si="26"/>
        <v>97024219.60087338</v>
      </c>
      <c r="M45" s="7">
        <f t="shared" si="26"/>
        <v>102072920.33759312</v>
      </c>
      <c r="N45" s="7">
        <f t="shared" si="26"/>
        <v>107374056.11114886</v>
      </c>
      <c r="O45" s="7">
        <f t="shared" si="26"/>
        <v>112940248.6733824</v>
      </c>
      <c r="P45" s="7">
        <f t="shared" si="26"/>
        <v>118784750.8637276</v>
      </c>
      <c r="Q45" s="7">
        <f t="shared" si="26"/>
        <v>124921478.16359004</v>
      </c>
      <c r="R45" s="7">
        <f t="shared" si="26"/>
        <v>131365041.8284456</v>
      </c>
      <c r="S45" s="7">
        <f t="shared" si="26"/>
        <v>138130783.67654395</v>
      </c>
      <c r="T45" s="7">
        <f t="shared" si="26"/>
        <v>145234812.61704722</v>
      </c>
      <c r="U45" s="7">
        <f t="shared" si="26"/>
        <v>152694043.00457567</v>
      </c>
      <c r="V45" s="7">
        <f t="shared" si="26"/>
        <v>160526234.91148055</v>
      </c>
      <c r="W45" s="7">
        <f t="shared" si="26"/>
        <v>168750036.4137307</v>
      </c>
      <c r="X45" s="7">
        <f t="shared" si="26"/>
        <v>177385027.99109334</v>
      </c>
      <c r="Y45" s="7">
        <f t="shared" si="26"/>
        <v>186451769.1473241</v>
      </c>
      <c r="Z45" s="7">
        <f t="shared" si="26"/>
        <v>195971847.3613663</v>
      </c>
    </row>
    <row r="46" spans="5:26" ht="15">
      <c r="E46" s="7"/>
      <c r="F46" s="7"/>
      <c r="G46" s="7"/>
      <c r="H46" s="7"/>
      <c r="I46" s="7"/>
      <c r="J46" s="7"/>
      <c r="K46" s="7"/>
      <c r="L46" s="7"/>
      <c r="M46" s="7"/>
      <c r="N46" s="7"/>
      <c r="O46" s="7"/>
      <c r="P46" s="7"/>
      <c r="Q46" s="7"/>
      <c r="R46" s="7"/>
      <c r="S46" s="7"/>
      <c r="T46" s="7"/>
      <c r="U46" s="7"/>
      <c r="V46" s="7"/>
      <c r="W46" s="7"/>
      <c r="X46" s="7"/>
      <c r="Y46" s="7"/>
      <c r="Z46" s="7"/>
    </row>
    <row r="47" spans="2:26" ht="15">
      <c r="B47" t="s">
        <v>52</v>
      </c>
      <c r="E47" s="7"/>
      <c r="F47" s="7">
        <f>F40-F22</f>
        <v>0</v>
      </c>
      <c r="G47" s="7">
        <f aca="true" t="shared" si="27" ref="G47:Q47">G40-G22</f>
        <v>0</v>
      </c>
      <c r="H47" s="7">
        <f t="shared" si="27"/>
        <v>0</v>
      </c>
      <c r="I47" s="7">
        <f t="shared" si="27"/>
        <v>0</v>
      </c>
      <c r="J47" s="7">
        <f t="shared" si="27"/>
        <v>0</v>
      </c>
      <c r="K47" s="7">
        <f t="shared" si="27"/>
        <v>319340936.545208</v>
      </c>
      <c r="L47" s="7">
        <f t="shared" si="27"/>
        <v>350514694.6365261</v>
      </c>
      <c r="M47" s="7">
        <f t="shared" si="27"/>
        <v>383247140.63241005</v>
      </c>
      <c r="N47" s="7">
        <f t="shared" si="27"/>
        <v>417616208.9280882</v>
      </c>
      <c r="O47" s="7">
        <f t="shared" si="27"/>
        <v>453703730.6385517</v>
      </c>
      <c r="P47" s="7">
        <f t="shared" si="27"/>
        <v>491595628.43453693</v>
      </c>
      <c r="Q47" s="7">
        <f t="shared" si="27"/>
        <v>531382121.1203213</v>
      </c>
      <c r="R47" s="7">
        <f>R40-R22</f>
        <v>573157938.4403934</v>
      </c>
      <c r="S47" s="7">
        <f aca="true" t="shared" si="28" ref="S47:Z47">S40-S22</f>
        <v>617022546.6264706</v>
      </c>
      <c r="T47" s="7">
        <f t="shared" si="28"/>
        <v>663080385.2218513</v>
      </c>
      <c r="U47" s="7">
        <f t="shared" si="28"/>
        <v>711441115.7470016</v>
      </c>
      <c r="V47" s="7">
        <f t="shared" si="28"/>
        <v>762219882.7984104</v>
      </c>
      <c r="W47" s="7">
        <f t="shared" si="28"/>
        <v>815537588.2023888</v>
      </c>
      <c r="X47" s="7">
        <f t="shared" si="28"/>
        <v>871521178.8765659</v>
      </c>
      <c r="Y47" s="7">
        <f t="shared" si="28"/>
        <v>930303949.0844536</v>
      </c>
      <c r="Z47" s="7">
        <f t="shared" si="28"/>
        <v>992025857.8027306</v>
      </c>
    </row>
    <row r="48" spans="2:26" ht="15">
      <c r="B48" t="s">
        <v>53</v>
      </c>
      <c r="E48" s="7"/>
      <c r="F48" s="7">
        <f aca="true" t="shared" si="29" ref="F48:Z48">F47/exrate</f>
        <v>0</v>
      </c>
      <c r="G48" s="7">
        <f t="shared" si="29"/>
        <v>0</v>
      </c>
      <c r="H48" s="7">
        <f t="shared" si="29"/>
        <v>0</v>
      </c>
      <c r="I48" s="7">
        <f t="shared" si="29"/>
        <v>0</v>
      </c>
      <c r="J48" s="7">
        <f t="shared" si="29"/>
        <v>0</v>
      </c>
      <c r="K48" s="7">
        <f t="shared" si="29"/>
        <v>4147284.890197506</v>
      </c>
      <c r="L48" s="7">
        <f t="shared" si="29"/>
        <v>4552138.891383456</v>
      </c>
      <c r="M48" s="7">
        <f t="shared" si="29"/>
        <v>4977235.592628702</v>
      </c>
      <c r="N48" s="7">
        <f t="shared" si="29"/>
        <v>5423587.128936211</v>
      </c>
      <c r="O48" s="7">
        <f t="shared" si="29"/>
        <v>5892256.242059113</v>
      </c>
      <c r="P48" s="7">
        <f t="shared" si="29"/>
        <v>6384358.810838142</v>
      </c>
      <c r="Q48" s="7">
        <f t="shared" si="29"/>
        <v>6901066.50805612</v>
      </c>
      <c r="R48" s="7">
        <f t="shared" si="29"/>
        <v>7443609.59013498</v>
      </c>
      <c r="S48" s="7">
        <f t="shared" si="29"/>
        <v>8013279.826317799</v>
      </c>
      <c r="T48" s="7">
        <f t="shared" si="29"/>
        <v>8611433.574309757</v>
      </c>
      <c r="U48" s="7">
        <f t="shared" si="29"/>
        <v>9239495.00970132</v>
      </c>
      <c r="V48" s="7">
        <f t="shared" si="29"/>
        <v>9898959.516862473</v>
      </c>
      <c r="W48" s="7">
        <f t="shared" si="29"/>
        <v>10591397.249381673</v>
      </c>
      <c r="X48" s="7">
        <f t="shared" si="29"/>
        <v>11318456.86852683</v>
      </c>
      <c r="Y48" s="7">
        <f t="shared" si="29"/>
        <v>12081869.468629267</v>
      </c>
      <c r="Z48" s="7">
        <f t="shared" si="29"/>
        <v>12883452.69873676</v>
      </c>
    </row>
    <row r="49" spans="2:26" ht="15">
      <c r="B49" t="s">
        <v>45</v>
      </c>
      <c r="E49" s="7"/>
      <c r="F49" s="7">
        <f>F42-F24</f>
        <v>0</v>
      </c>
      <c r="G49" s="7">
        <f aca="true" t="shared" si="30" ref="G49:Q49">G42-G24</f>
        <v>0</v>
      </c>
      <c r="H49" s="7">
        <f t="shared" si="30"/>
        <v>0</v>
      </c>
      <c r="I49" s="7">
        <f t="shared" si="30"/>
        <v>0</v>
      </c>
      <c r="J49" s="7">
        <f t="shared" si="30"/>
        <v>0</v>
      </c>
      <c r="K49" s="7">
        <f t="shared" si="30"/>
        <v>698601413.0729079</v>
      </c>
      <c r="L49" s="7">
        <f t="shared" si="30"/>
        <v>68196804.60949671</v>
      </c>
      <c r="M49" s="7">
        <f t="shared" si="30"/>
        <v>71606644.83997297</v>
      </c>
      <c r="N49" s="7">
        <f t="shared" si="30"/>
        <v>75186977.0819732</v>
      </c>
      <c r="O49" s="7">
        <f t="shared" si="30"/>
        <v>78946325.93607104</v>
      </c>
      <c r="P49" s="7">
        <f t="shared" si="30"/>
        <v>82893642.23287463</v>
      </c>
      <c r="Q49" s="7">
        <f t="shared" si="30"/>
        <v>87038324.34451783</v>
      </c>
      <c r="R49" s="7">
        <f>R42-R24</f>
        <v>91390240.561741</v>
      </c>
      <c r="S49" s="7">
        <f aca="true" t="shared" si="31" ref="S49:Z49">S42-S24</f>
        <v>95959752.58982849</v>
      </c>
      <c r="T49" s="7">
        <f t="shared" si="31"/>
        <v>100757740.21932352</v>
      </c>
      <c r="U49" s="7">
        <f t="shared" si="31"/>
        <v>105795627.23028958</v>
      </c>
      <c r="V49" s="7">
        <f t="shared" si="31"/>
        <v>111085408.59180331</v>
      </c>
      <c r="W49" s="7">
        <f t="shared" si="31"/>
        <v>116639679.02139449</v>
      </c>
      <c r="X49" s="7">
        <f t="shared" si="31"/>
        <v>122471662.97246289</v>
      </c>
      <c r="Y49" s="7">
        <f t="shared" si="31"/>
        <v>128595246.12108707</v>
      </c>
      <c r="Z49" s="7">
        <f t="shared" si="31"/>
        <v>135025008.42713833</v>
      </c>
    </row>
    <row r="50" spans="2:26" ht="15">
      <c r="B50" s="8" t="s">
        <v>46</v>
      </c>
      <c r="C50" s="8"/>
      <c r="D50" s="8"/>
      <c r="E50" s="8"/>
      <c r="F50" s="15">
        <f aca="true" t="shared" si="32" ref="F50:Z50">F49/exrate</f>
        <v>0</v>
      </c>
      <c r="G50" s="15">
        <f t="shared" si="32"/>
        <v>0</v>
      </c>
      <c r="H50" s="15">
        <f t="shared" si="32"/>
        <v>0</v>
      </c>
      <c r="I50" s="15">
        <f t="shared" si="32"/>
        <v>0</v>
      </c>
      <c r="J50" s="15">
        <f t="shared" si="32"/>
        <v>0</v>
      </c>
      <c r="K50" s="15">
        <f t="shared" si="32"/>
        <v>9072745.62432348</v>
      </c>
      <c r="L50" s="15">
        <f t="shared" si="32"/>
        <v>885672.787136321</v>
      </c>
      <c r="M50" s="15">
        <f t="shared" si="32"/>
        <v>929956.4264931555</v>
      </c>
      <c r="N50" s="15">
        <f t="shared" si="32"/>
        <v>976454.2478178337</v>
      </c>
      <c r="O50" s="15">
        <f t="shared" si="32"/>
        <v>1025276.9602087148</v>
      </c>
      <c r="P50" s="15">
        <f t="shared" si="32"/>
        <v>1076540.808219151</v>
      </c>
      <c r="Q50" s="15">
        <f t="shared" si="32"/>
        <v>1130367.8486301017</v>
      </c>
      <c r="R50" s="15">
        <f t="shared" si="32"/>
        <v>1186886.2410615713</v>
      </c>
      <c r="S50" s="15">
        <f t="shared" si="32"/>
        <v>1246230.5531146557</v>
      </c>
      <c r="T50" s="15">
        <f t="shared" si="32"/>
        <v>1308542.0807704353</v>
      </c>
      <c r="U50" s="15">
        <f t="shared" si="32"/>
        <v>1373969.1848089555</v>
      </c>
      <c r="V50" s="15">
        <f t="shared" si="32"/>
        <v>1442667.6440493937</v>
      </c>
      <c r="W50" s="15">
        <f t="shared" si="32"/>
        <v>1514801.0262518765</v>
      </c>
      <c r="X50" s="15">
        <f t="shared" si="32"/>
        <v>1590541.0775644532</v>
      </c>
      <c r="Y50" s="15">
        <f t="shared" si="32"/>
        <v>1670068.1314426893</v>
      </c>
      <c r="Z50" s="15">
        <f t="shared" si="32"/>
        <v>1753571.5380147835</v>
      </c>
    </row>
    <row r="51" spans="2:26" ht="15">
      <c r="B51" t="s">
        <v>33</v>
      </c>
      <c r="E51" s="7">
        <f>E40-E22</f>
        <v>0</v>
      </c>
      <c r="F51" s="7">
        <f aca="true" t="shared" si="33" ref="F51:Z51">F44-F26</f>
        <v>0</v>
      </c>
      <c r="G51" s="7">
        <f t="shared" si="33"/>
        <v>0</v>
      </c>
      <c r="H51" s="7">
        <f t="shared" si="33"/>
        <v>0</v>
      </c>
      <c r="I51" s="7">
        <f t="shared" si="33"/>
        <v>0</v>
      </c>
      <c r="J51" s="7">
        <f t="shared" si="33"/>
        <v>0</v>
      </c>
      <c r="K51" s="7">
        <f t="shared" si="33"/>
        <v>1017942349.6181164</v>
      </c>
      <c r="L51" s="7">
        <f t="shared" si="33"/>
        <v>418711499.2460222</v>
      </c>
      <c r="M51" s="7">
        <f t="shared" si="33"/>
        <v>454853785.47238255</v>
      </c>
      <c r="N51" s="7">
        <f t="shared" si="33"/>
        <v>492803186.01006126</v>
      </c>
      <c r="O51" s="7">
        <f t="shared" si="33"/>
        <v>532650056.5746231</v>
      </c>
      <c r="P51" s="7">
        <f t="shared" si="33"/>
        <v>574489270.6674118</v>
      </c>
      <c r="Q51" s="7">
        <f t="shared" si="33"/>
        <v>618420445.4648399</v>
      </c>
      <c r="R51" s="7">
        <f t="shared" si="33"/>
        <v>664548179.0021343</v>
      </c>
      <c r="S51" s="7">
        <f t="shared" si="33"/>
        <v>712982299.216299</v>
      </c>
      <c r="T51" s="7">
        <f t="shared" si="33"/>
        <v>763838125.4411736</v>
      </c>
      <c r="U51" s="7">
        <f t="shared" si="33"/>
        <v>817236742.9772911</v>
      </c>
      <c r="V51" s="7">
        <f t="shared" si="33"/>
        <v>873305291.3902149</v>
      </c>
      <c r="W51" s="7">
        <f t="shared" si="33"/>
        <v>932177267.2237835</v>
      </c>
      <c r="X51" s="7">
        <f t="shared" si="33"/>
        <v>993992841.8490276</v>
      </c>
      <c r="Y51" s="7">
        <f t="shared" si="33"/>
        <v>1058899195.2055397</v>
      </c>
      <c r="Z51" s="7">
        <f t="shared" si="33"/>
        <v>1127050866.2298698</v>
      </c>
    </row>
    <row r="52" spans="2:26" ht="15">
      <c r="B52" t="s">
        <v>35</v>
      </c>
      <c r="E52" s="7">
        <f aca="true" t="shared" si="34" ref="E52:Z52">E51/exrate</f>
        <v>0</v>
      </c>
      <c r="F52" s="7">
        <f t="shared" si="34"/>
        <v>0</v>
      </c>
      <c r="G52" s="7">
        <f t="shared" si="34"/>
        <v>0</v>
      </c>
      <c r="H52" s="7">
        <f t="shared" si="34"/>
        <v>0</v>
      </c>
      <c r="I52" s="7">
        <f t="shared" si="34"/>
        <v>0</v>
      </c>
      <c r="J52" s="7">
        <f t="shared" si="34"/>
        <v>0</v>
      </c>
      <c r="K52" s="7">
        <f t="shared" si="34"/>
        <v>13220030.514520992</v>
      </c>
      <c r="L52" s="7">
        <f t="shared" si="34"/>
        <v>5437811.67851977</v>
      </c>
      <c r="M52" s="7">
        <f t="shared" si="34"/>
        <v>5907192.019121851</v>
      </c>
      <c r="N52" s="7">
        <f t="shared" si="34"/>
        <v>6400041.376754043</v>
      </c>
      <c r="O52" s="7">
        <f t="shared" si="34"/>
        <v>6917533.202267832</v>
      </c>
      <c r="P52" s="7">
        <f t="shared" si="34"/>
        <v>7460899.619057296</v>
      </c>
      <c r="Q52" s="7">
        <f t="shared" si="34"/>
        <v>8031434.356686233</v>
      </c>
      <c r="R52" s="7">
        <f t="shared" si="34"/>
        <v>8630495.83119655</v>
      </c>
      <c r="S52" s="7">
        <f t="shared" si="34"/>
        <v>9259510.379432455</v>
      </c>
      <c r="T52" s="7">
        <f t="shared" si="34"/>
        <v>9919975.655080177</v>
      </c>
      <c r="U52" s="7">
        <f t="shared" si="34"/>
        <v>10613464.194510274</v>
      </c>
      <c r="V52" s="7">
        <f t="shared" si="34"/>
        <v>11341627.160911882</v>
      </c>
      <c r="W52" s="7">
        <f t="shared" si="34"/>
        <v>12106198.275633551</v>
      </c>
      <c r="X52" s="7">
        <f t="shared" si="34"/>
        <v>12908997.946091268</v>
      </c>
      <c r="Y52" s="7">
        <f t="shared" si="34"/>
        <v>13751937.600071944</v>
      </c>
      <c r="Z52" s="7">
        <f t="shared" si="34"/>
        <v>14637024.236751556</v>
      </c>
    </row>
    <row r="54" ht="15">
      <c r="B54" s="12" t="s">
        <v>36</v>
      </c>
    </row>
    <row r="55" spans="2:26" ht="15">
      <c r="B55" t="s">
        <v>42</v>
      </c>
      <c r="F55" s="7">
        <f aca="true" t="shared" si="35" ref="F55:Z55">(H15*0.5+G15*0.5)*ConstructC*local_investment</f>
        <v>1066112756.0997952</v>
      </c>
      <c r="G55" s="7">
        <f t="shared" si="35"/>
        <v>1160996791.3926778</v>
      </c>
      <c r="H55" s="7">
        <f t="shared" si="35"/>
        <v>1264325505.8266256</v>
      </c>
      <c r="I55" s="7">
        <f t="shared" si="35"/>
        <v>1376850475.8451936</v>
      </c>
      <c r="J55" s="7">
        <f t="shared" si="35"/>
        <v>1156875875.3859572</v>
      </c>
      <c r="K55" s="7">
        <f t="shared" si="35"/>
        <v>900197820.845376</v>
      </c>
      <c r="L55" s="7">
        <f t="shared" si="35"/>
        <v>945207711.8876439</v>
      </c>
      <c r="M55" s="7">
        <f t="shared" si="35"/>
        <v>992468097.4820261</v>
      </c>
      <c r="N55" s="7">
        <f t="shared" si="35"/>
        <v>1042091502.3561285</v>
      </c>
      <c r="O55" s="7">
        <f t="shared" si="35"/>
        <v>1094196077.4739354</v>
      </c>
      <c r="P55" s="7">
        <f t="shared" si="35"/>
        <v>1148905881.3476326</v>
      </c>
      <c r="Q55" s="7">
        <f t="shared" si="35"/>
        <v>1206351175.4150143</v>
      </c>
      <c r="R55" s="7">
        <f t="shared" si="35"/>
        <v>1266668734.1857634</v>
      </c>
      <c r="S55" s="7">
        <f t="shared" si="35"/>
        <v>1330002170.8950503</v>
      </c>
      <c r="T55" s="7">
        <f t="shared" si="35"/>
        <v>1396502279.4398038</v>
      </c>
      <c r="U55" s="7">
        <f t="shared" si="35"/>
        <v>1466327393.411795</v>
      </c>
      <c r="V55" s="7">
        <f t="shared" si="35"/>
        <v>1539643763.082385</v>
      </c>
      <c r="W55" s="7">
        <f t="shared" si="35"/>
        <v>1616625951.2365055</v>
      </c>
      <c r="X55" s="7">
        <f t="shared" si="35"/>
        <v>1697457248.7983308</v>
      </c>
      <c r="Y55" s="7">
        <f t="shared" si="35"/>
        <v>1782330111.2382483</v>
      </c>
      <c r="Z55" s="7">
        <f t="shared" si="35"/>
        <v>1871446616.8001597</v>
      </c>
    </row>
    <row r="56" spans="2:26" ht="15">
      <c r="B56" t="s">
        <v>43</v>
      </c>
      <c r="F56" s="15">
        <f aca="true" t="shared" si="36" ref="F56:Z56">(H33*0.5+G33*0.5)*ConstructC*local_investment</f>
        <v>1066112756.0997952</v>
      </c>
      <c r="G56" s="15">
        <f t="shared" si="36"/>
        <v>1160996791.3926778</v>
      </c>
      <c r="H56" s="15">
        <f t="shared" si="36"/>
        <v>1264325505.8266256</v>
      </c>
      <c r="I56" s="15">
        <f t="shared" si="36"/>
        <v>1837927408.4733129</v>
      </c>
      <c r="J56" s="15">
        <f t="shared" si="36"/>
        <v>1662962699.0563443</v>
      </c>
      <c r="K56" s="15">
        <f t="shared" si="36"/>
        <v>992468097.4820261</v>
      </c>
      <c r="L56" s="15">
        <f t="shared" si="36"/>
        <v>1042091502.3561285</v>
      </c>
      <c r="M56" s="15">
        <f t="shared" si="36"/>
        <v>1094196077.4739354</v>
      </c>
      <c r="N56" s="15">
        <f t="shared" si="36"/>
        <v>1148905881.3476326</v>
      </c>
      <c r="O56" s="15">
        <f t="shared" si="36"/>
        <v>1206351175.4150143</v>
      </c>
      <c r="P56" s="15">
        <f t="shared" si="36"/>
        <v>1266668734.1857634</v>
      </c>
      <c r="Q56" s="15">
        <f t="shared" si="36"/>
        <v>1330002170.8950503</v>
      </c>
      <c r="R56" s="15">
        <f t="shared" si="36"/>
        <v>1396502279.4398038</v>
      </c>
      <c r="S56" s="15">
        <f t="shared" si="36"/>
        <v>1466327393.411795</v>
      </c>
      <c r="T56" s="15">
        <f t="shared" si="36"/>
        <v>1539643763.082385</v>
      </c>
      <c r="U56" s="15">
        <f t="shared" si="36"/>
        <v>1616625951.2365055</v>
      </c>
      <c r="V56" s="15">
        <f t="shared" si="36"/>
        <v>1697457248.7983308</v>
      </c>
      <c r="W56" s="15">
        <f t="shared" si="36"/>
        <v>1782330111.2382483</v>
      </c>
      <c r="X56" s="15">
        <f t="shared" si="36"/>
        <v>1871446616.8001597</v>
      </c>
      <c r="Y56" s="15">
        <f t="shared" si="36"/>
        <v>1965018947.640164</v>
      </c>
      <c r="Z56" s="15">
        <f t="shared" si="36"/>
        <v>2063269895.0221715</v>
      </c>
    </row>
    <row r="57" spans="2:26" ht="15">
      <c r="B57" t="s">
        <v>44</v>
      </c>
      <c r="F57" s="7">
        <f>F56-F55</f>
        <v>0</v>
      </c>
      <c r="G57" s="7">
        <f aca="true" t="shared" si="37" ref="G57:P57">G56-G55</f>
        <v>0</v>
      </c>
      <c r="H57" s="7">
        <f t="shared" si="37"/>
        <v>0</v>
      </c>
      <c r="I57" s="7">
        <f t="shared" si="37"/>
        <v>461076932.62811923</v>
      </c>
      <c r="J57" s="7">
        <f t="shared" si="37"/>
        <v>506086823.670387</v>
      </c>
      <c r="K57" s="7">
        <f t="shared" si="37"/>
        <v>92270276.63665009</v>
      </c>
      <c r="L57" s="7">
        <f t="shared" si="37"/>
        <v>96883790.46848452</v>
      </c>
      <c r="M57" s="7">
        <f t="shared" si="37"/>
        <v>101727979.99190927</v>
      </c>
      <c r="N57" s="7">
        <f t="shared" si="37"/>
        <v>106814378.99150419</v>
      </c>
      <c r="O57" s="7">
        <f t="shared" si="37"/>
        <v>112155097.9410789</v>
      </c>
      <c r="P57" s="7">
        <f t="shared" si="37"/>
        <v>117762852.83813071</v>
      </c>
      <c r="Q57" s="7">
        <f>Q56-Q55</f>
        <v>123650995.48003602</v>
      </c>
      <c r="R57" s="7">
        <f aca="true" t="shared" si="38" ref="R57:Z57">R56-R55</f>
        <v>129833545.25404048</v>
      </c>
      <c r="S57" s="7">
        <f t="shared" si="38"/>
        <v>136325222.5167446</v>
      </c>
      <c r="T57" s="7">
        <f t="shared" si="38"/>
        <v>143141483.64258122</v>
      </c>
      <c r="U57" s="7">
        <f t="shared" si="38"/>
        <v>150298557.8247106</v>
      </c>
      <c r="V57" s="7">
        <f t="shared" si="38"/>
        <v>157813485.71594572</v>
      </c>
      <c r="W57" s="7">
        <f t="shared" si="38"/>
        <v>165704160.00174284</v>
      </c>
      <c r="X57" s="7">
        <f t="shared" si="38"/>
        <v>173989368.0018289</v>
      </c>
      <c r="Y57" s="7">
        <f t="shared" si="38"/>
        <v>182688836.40191555</v>
      </c>
      <c r="Z57" s="7">
        <f t="shared" si="38"/>
        <v>191823278.2220118</v>
      </c>
    </row>
    <row r="58" ht="15">
      <c r="F58" s="11"/>
    </row>
    <row r="59" spans="5:26" ht="15">
      <c r="E59" s="9" t="s">
        <v>28</v>
      </c>
      <c r="F59">
        <v>0</v>
      </c>
      <c r="G59">
        <v>1</v>
      </c>
      <c r="H59">
        <v>2</v>
      </c>
      <c r="I59">
        <v>3</v>
      </c>
      <c r="J59">
        <v>4</v>
      </c>
      <c r="K59">
        <v>5</v>
      </c>
      <c r="L59">
        <v>6</v>
      </c>
      <c r="M59">
        <v>7</v>
      </c>
      <c r="N59">
        <v>8</v>
      </c>
      <c r="O59">
        <v>9</v>
      </c>
      <c r="P59">
        <v>10</v>
      </c>
      <c r="Q59">
        <v>11</v>
      </c>
      <c r="R59">
        <v>12</v>
      </c>
      <c r="S59">
        <v>13</v>
      </c>
      <c r="T59">
        <v>14</v>
      </c>
      <c r="U59">
        <v>15</v>
      </c>
      <c r="V59">
        <v>16</v>
      </c>
      <c r="W59">
        <v>17</v>
      </c>
      <c r="X59">
        <v>18</v>
      </c>
      <c r="Y59">
        <v>19</v>
      </c>
      <c r="Z59">
        <v>20</v>
      </c>
    </row>
    <row r="60" spans="5:26" ht="15">
      <c r="E60" s="8">
        <v>2010</v>
      </c>
      <c r="F60" s="8">
        <v>2011</v>
      </c>
      <c r="G60" s="8">
        <v>2012</v>
      </c>
      <c r="H60" s="8">
        <v>2013</v>
      </c>
      <c r="I60" s="8">
        <v>2014</v>
      </c>
      <c r="J60" s="8">
        <v>2015</v>
      </c>
      <c r="K60" s="8">
        <v>2016</v>
      </c>
      <c r="L60" s="8">
        <v>2017</v>
      </c>
      <c r="M60" s="8">
        <v>2018</v>
      </c>
      <c r="N60" s="8">
        <v>2019</v>
      </c>
      <c r="O60" s="8">
        <v>2020</v>
      </c>
      <c r="P60" s="8">
        <v>2021</v>
      </c>
      <c r="Q60" s="8">
        <v>2022</v>
      </c>
      <c r="R60" s="8">
        <v>2023</v>
      </c>
      <c r="S60" s="8">
        <v>2024</v>
      </c>
      <c r="T60" s="8">
        <v>2025</v>
      </c>
      <c r="U60" s="8">
        <v>2026</v>
      </c>
      <c r="V60" s="8">
        <v>2027</v>
      </c>
      <c r="W60" s="8">
        <v>2028</v>
      </c>
      <c r="X60" s="8">
        <v>2029</v>
      </c>
      <c r="Y60" s="8">
        <v>2030</v>
      </c>
      <c r="Z60" s="8">
        <v>2031</v>
      </c>
    </row>
    <row r="61" spans="2:26" ht="15">
      <c r="B61" t="s">
        <v>76</v>
      </c>
      <c r="F61" s="4">
        <f aca="true" t="shared" si="39" ref="F61:Z61">(F33-F15)*30</f>
        <v>0</v>
      </c>
      <c r="G61" s="4">
        <f t="shared" si="39"/>
        <v>0</v>
      </c>
      <c r="H61" s="4">
        <f t="shared" si="39"/>
        <v>0</v>
      </c>
      <c r="I61" s="4">
        <f t="shared" si="39"/>
        <v>0</v>
      </c>
      <c r="J61" s="4">
        <f t="shared" si="39"/>
        <v>0</v>
      </c>
      <c r="K61" s="4">
        <f t="shared" si="39"/>
        <v>362.90982497293925</v>
      </c>
      <c r="L61" s="4">
        <f t="shared" si="39"/>
        <v>35.42691148545288</v>
      </c>
      <c r="M61" s="4">
        <f t="shared" si="39"/>
        <v>37.198257059726245</v>
      </c>
      <c r="N61" s="4">
        <f t="shared" si="39"/>
        <v>39.05816991271337</v>
      </c>
      <c r="O61" s="4">
        <f t="shared" si="39"/>
        <v>41.01107840834857</v>
      </c>
      <c r="P61" s="4">
        <f t="shared" si="39"/>
        <v>43.061632328765995</v>
      </c>
      <c r="Q61" s="4">
        <f t="shared" si="39"/>
        <v>45.21471394520404</v>
      </c>
      <c r="R61" s="4">
        <f t="shared" si="39"/>
        <v>47.47544964246288</v>
      </c>
      <c r="S61" s="4">
        <f t="shared" si="39"/>
        <v>49.84922212458628</v>
      </c>
      <c r="T61" s="4">
        <f t="shared" si="39"/>
        <v>52.341683230817466</v>
      </c>
      <c r="U61" s="4">
        <f t="shared" si="39"/>
        <v>54.958767392358254</v>
      </c>
      <c r="V61" s="4">
        <f t="shared" si="39"/>
        <v>57.70670576197574</v>
      </c>
      <c r="W61" s="4">
        <f t="shared" si="39"/>
        <v>60.592041050074954</v>
      </c>
      <c r="X61" s="4">
        <f t="shared" si="39"/>
        <v>63.621643102578105</v>
      </c>
      <c r="Y61" s="4">
        <f t="shared" si="39"/>
        <v>66.8027252577076</v>
      </c>
      <c r="Z61" s="4">
        <f t="shared" si="39"/>
        <v>70.14286152059128</v>
      </c>
    </row>
    <row r="62" spans="2:26" ht="15">
      <c r="B62" t="s">
        <v>77</v>
      </c>
      <c r="F62" s="4">
        <f aca="true" t="shared" si="40" ref="F62:Z62">F15*30</f>
        <v>368.86049999999955</v>
      </c>
      <c r="G62" s="4">
        <f t="shared" si="40"/>
        <v>401.68908450000004</v>
      </c>
      <c r="H62" s="4">
        <f t="shared" si="40"/>
        <v>437.4394130204999</v>
      </c>
      <c r="I62" s="4">
        <f t="shared" si="40"/>
        <v>476.3715207793251</v>
      </c>
      <c r="J62" s="4">
        <f t="shared" si="40"/>
        <v>518.7685861286841</v>
      </c>
      <c r="K62" s="4">
        <f t="shared" si="40"/>
        <v>564.9389902941366</v>
      </c>
      <c r="L62" s="4">
        <f t="shared" si="40"/>
        <v>345.6284047361328</v>
      </c>
      <c r="M62" s="4">
        <f t="shared" si="40"/>
        <v>362.90982497293925</v>
      </c>
      <c r="N62" s="4">
        <f t="shared" si="40"/>
        <v>381.05531622158566</v>
      </c>
      <c r="O62" s="4">
        <f t="shared" si="40"/>
        <v>400.1080820326655</v>
      </c>
      <c r="P62" s="4">
        <f t="shared" si="40"/>
        <v>420.113486134299</v>
      </c>
      <c r="Q62" s="4">
        <f t="shared" si="40"/>
        <v>441.11916044101406</v>
      </c>
      <c r="R62" s="4">
        <f t="shared" si="40"/>
        <v>463.175118463065</v>
      </c>
      <c r="S62" s="4">
        <f t="shared" si="40"/>
        <v>486.3338743862181</v>
      </c>
      <c r="T62" s="4">
        <f t="shared" si="40"/>
        <v>510.6505681055279</v>
      </c>
      <c r="U62" s="4">
        <f t="shared" si="40"/>
        <v>536.1830965108044</v>
      </c>
      <c r="V62" s="4">
        <f t="shared" si="40"/>
        <v>562.9922513363454</v>
      </c>
      <c r="W62" s="4">
        <f t="shared" si="40"/>
        <v>591.1418639031626</v>
      </c>
      <c r="X62" s="4">
        <f t="shared" si="40"/>
        <v>620.6989570983211</v>
      </c>
      <c r="Y62" s="4">
        <f t="shared" si="40"/>
        <v>651.7339049532376</v>
      </c>
      <c r="Z62" s="4">
        <f t="shared" si="40"/>
        <v>684.3206002008992</v>
      </c>
    </row>
    <row r="63" spans="2:26" ht="15">
      <c r="B63" t="s">
        <v>91</v>
      </c>
      <c r="F63" s="4">
        <f aca="true" t="shared" si="41" ref="F63:Z63">F33*30</f>
        <v>368.86049999999955</v>
      </c>
      <c r="G63" s="4">
        <f t="shared" si="41"/>
        <v>401.68908450000004</v>
      </c>
      <c r="H63" s="4">
        <f t="shared" si="41"/>
        <v>437.4394130204999</v>
      </c>
      <c r="I63" s="4">
        <f t="shared" si="41"/>
        <v>476.3715207793251</v>
      </c>
      <c r="J63" s="4">
        <f t="shared" si="41"/>
        <v>518.7685861286841</v>
      </c>
      <c r="K63" s="4">
        <f t="shared" si="41"/>
        <v>927.8488152670758</v>
      </c>
      <c r="L63" s="4">
        <f t="shared" si="41"/>
        <v>381.05531622158566</v>
      </c>
      <c r="M63" s="4">
        <f t="shared" si="41"/>
        <v>400.1080820326655</v>
      </c>
      <c r="N63" s="4">
        <f t="shared" si="41"/>
        <v>420.113486134299</v>
      </c>
      <c r="O63" s="4">
        <f t="shared" si="41"/>
        <v>441.11916044101406</v>
      </c>
      <c r="P63" s="4">
        <f t="shared" si="41"/>
        <v>463.175118463065</v>
      </c>
      <c r="Q63" s="4">
        <f t="shared" si="41"/>
        <v>486.3338743862181</v>
      </c>
      <c r="R63" s="4">
        <f t="shared" si="41"/>
        <v>510.6505681055279</v>
      </c>
      <c r="S63" s="4">
        <f t="shared" si="41"/>
        <v>536.1830965108044</v>
      </c>
      <c r="T63" s="4">
        <f t="shared" si="41"/>
        <v>562.9922513363454</v>
      </c>
      <c r="U63" s="4">
        <f t="shared" si="41"/>
        <v>591.1418639031626</v>
      </c>
      <c r="V63" s="4">
        <f t="shared" si="41"/>
        <v>620.6989570983211</v>
      </c>
      <c r="W63" s="4">
        <f t="shared" si="41"/>
        <v>651.7339049532376</v>
      </c>
      <c r="X63" s="4">
        <f t="shared" si="41"/>
        <v>684.3206002008992</v>
      </c>
      <c r="Y63" s="4">
        <f t="shared" si="41"/>
        <v>718.5366302109452</v>
      </c>
      <c r="Z63" s="4">
        <f t="shared" si="41"/>
        <v>754.4634617214905</v>
      </c>
    </row>
    <row r="64" spans="2:27" ht="15">
      <c r="B64" t="s">
        <v>78</v>
      </c>
      <c r="E64">
        <v>900</v>
      </c>
      <c r="F64" s="4">
        <f>E64+F62</f>
        <v>1268.8604999999995</v>
      </c>
      <c r="G64" s="4">
        <f>F64+G62</f>
        <v>1670.5495844999996</v>
      </c>
      <c r="H64" s="4">
        <f aca="true" t="shared" si="42" ref="H64:O65">G64+H62</f>
        <v>2107.9889975204997</v>
      </c>
      <c r="I64" s="4">
        <f t="shared" si="42"/>
        <v>2584.360518299825</v>
      </c>
      <c r="J64" s="4">
        <f t="shared" si="42"/>
        <v>3103.129104428509</v>
      </c>
      <c r="K64" s="4">
        <f t="shared" si="42"/>
        <v>3668.0680947226456</v>
      </c>
      <c r="L64" s="4">
        <f t="shared" si="42"/>
        <v>4013.6964994587784</v>
      </c>
      <c r="M64" s="4">
        <f t="shared" si="42"/>
        <v>4376.606324431717</v>
      </c>
      <c r="N64" s="4">
        <f t="shared" si="42"/>
        <v>4757.661640653303</v>
      </c>
      <c r="O64" s="4">
        <f t="shared" si="42"/>
        <v>5157.769722685968</v>
      </c>
      <c r="P64" s="4">
        <f>O64+P62</f>
        <v>5577.883208820267</v>
      </c>
      <c r="Q64" s="4">
        <f>P64+Q62</f>
        <v>6019.002369261281</v>
      </c>
      <c r="R64" s="4">
        <f>Q64+R62</f>
        <v>6482.177487724346</v>
      </c>
      <c r="S64" s="4">
        <f>R64+S62</f>
        <v>6968.511362110564</v>
      </c>
      <c r="T64" s="4">
        <f>S64+T62</f>
        <v>7479.161930216092</v>
      </c>
      <c r="U64" s="4">
        <f>T64+U62</f>
        <v>8015.345026726896</v>
      </c>
      <c r="V64" s="4">
        <f>U64+V62</f>
        <v>8578.337278063242</v>
      </c>
      <c r="W64" s="4">
        <f>V64+W62</f>
        <v>9169.479141966403</v>
      </c>
      <c r="X64" s="4">
        <f>W64+X62</f>
        <v>9790.178099064724</v>
      </c>
      <c r="Y64" s="4">
        <f>X64+Y62</f>
        <v>10441.912004017962</v>
      </c>
      <c r="Z64" s="4">
        <f>Y64+Z62</f>
        <v>11126.232604218862</v>
      </c>
      <c r="AA64" s="2"/>
    </row>
    <row r="65" spans="2:26" ht="15">
      <c r="B65" t="s">
        <v>94</v>
      </c>
      <c r="E65">
        <v>900</v>
      </c>
      <c r="F65" s="4">
        <f>E65+F63</f>
        <v>1268.8604999999995</v>
      </c>
      <c r="G65" s="4">
        <f>F65+G63</f>
        <v>1670.5495844999996</v>
      </c>
      <c r="H65" s="4">
        <f t="shared" si="42"/>
        <v>2107.9889975204997</v>
      </c>
      <c r="I65" s="4">
        <f t="shared" si="42"/>
        <v>2584.360518299825</v>
      </c>
      <c r="J65" s="4">
        <f t="shared" si="42"/>
        <v>3103.129104428509</v>
      </c>
      <c r="K65" s="4">
        <f t="shared" si="42"/>
        <v>4030.9779196955847</v>
      </c>
      <c r="L65" s="4">
        <f t="shared" si="42"/>
        <v>4412.033235917171</v>
      </c>
      <c r="M65" s="4">
        <f t="shared" si="42"/>
        <v>4812.141317949836</v>
      </c>
      <c r="N65" s="4">
        <f t="shared" si="42"/>
        <v>5232.254804084135</v>
      </c>
      <c r="O65" s="4">
        <f t="shared" si="42"/>
        <v>5673.373964525149</v>
      </c>
      <c r="P65" s="4">
        <f>O65+P63</f>
        <v>6136.549082988214</v>
      </c>
      <c r="Q65" s="4">
        <f>P65+Q63</f>
        <v>6622.8829573744315</v>
      </c>
      <c r="R65" s="4">
        <f>Q65+R63</f>
        <v>7133.533525479959</v>
      </c>
      <c r="S65" s="4">
        <f>R65+S63</f>
        <v>7669.716621990764</v>
      </c>
      <c r="T65" s="4">
        <f>S65+T63</f>
        <v>8232.708873327108</v>
      </c>
      <c r="U65" s="4">
        <f>T65+U63</f>
        <v>8823.85073723027</v>
      </c>
      <c r="V65" s="4">
        <f>U65+V63</f>
        <v>9444.54969432859</v>
      </c>
      <c r="W65" s="4">
        <f>V65+W63</f>
        <v>10096.283599281829</v>
      </c>
      <c r="X65" s="4">
        <f>W65+X63</f>
        <v>10780.604199482728</v>
      </c>
      <c r="Y65" s="4">
        <f>X65+Y63</f>
        <v>11499.140829693673</v>
      </c>
      <c r="Z65" s="4">
        <f>Y65+Z63</f>
        <v>12253.604291415164</v>
      </c>
    </row>
    <row r="66" spans="11:12" ht="15">
      <c r="K66" s="4"/>
      <c r="L66" s="4"/>
    </row>
    <row r="67" spans="2:26" ht="15">
      <c r="B67" t="s">
        <v>133</v>
      </c>
      <c r="K67" s="7">
        <f aca="true" t="shared" si="43" ref="K67:Z67">K47*EmpLondgingVA</f>
        <v>39427045.57197484</v>
      </c>
      <c r="L67" s="7">
        <f t="shared" si="43"/>
        <v>43275876.21114384</v>
      </c>
      <c r="M67" s="7">
        <f t="shared" si="43"/>
        <v>47317148.38227127</v>
      </c>
      <c r="N67" s="7">
        <f t="shared" si="43"/>
        <v>51560484.16195508</v>
      </c>
      <c r="O67" s="7">
        <f t="shared" si="43"/>
        <v>56015986.73062326</v>
      </c>
      <c r="P67" s="7">
        <f t="shared" si="43"/>
        <v>60694264.42772467</v>
      </c>
      <c r="Q67" s="7">
        <f t="shared" si="43"/>
        <v>65606456.00968113</v>
      </c>
      <c r="R67" s="7">
        <f t="shared" si="43"/>
        <v>70764257.17073524</v>
      </c>
      <c r="S67" s="7">
        <f t="shared" si="43"/>
        <v>76179948.38984223</v>
      </c>
      <c r="T67" s="7">
        <f t="shared" si="43"/>
        <v>81866424.16990453</v>
      </c>
      <c r="U67" s="7">
        <f t="shared" si="43"/>
        <v>87837223.73897001</v>
      </c>
      <c r="V67" s="7">
        <f t="shared" si="43"/>
        <v>94106563.28648889</v>
      </c>
      <c r="W67" s="7">
        <f t="shared" si="43"/>
        <v>100689369.81138359</v>
      </c>
      <c r="X67" s="7">
        <f t="shared" si="43"/>
        <v>107601316.66252303</v>
      </c>
      <c r="Y67" s="7">
        <f t="shared" si="43"/>
        <v>114858860.85621963</v>
      </c>
      <c r="Z67" s="7">
        <f t="shared" si="43"/>
        <v>122479282.25960046</v>
      </c>
    </row>
    <row r="68" spans="2:26" ht="15">
      <c r="B68" t="s">
        <v>136</v>
      </c>
      <c r="K68" s="7">
        <f aca="true" t="shared" si="44" ref="K68:Z68">K47*EmpTransVA</f>
        <v>4260063.478266161</v>
      </c>
      <c r="L68" s="7">
        <f t="shared" si="44"/>
        <v>4675926.817811193</v>
      </c>
      <c r="M68" s="7">
        <f t="shared" si="44"/>
        <v>5112583.324333477</v>
      </c>
      <c r="N68" s="7">
        <f t="shared" si="44"/>
        <v>5571072.656181874</v>
      </c>
      <c r="O68" s="7">
        <f t="shared" si="44"/>
        <v>6052486.45462271</v>
      </c>
      <c r="P68" s="7">
        <f t="shared" si="44"/>
        <v>6557970.942985569</v>
      </c>
      <c r="Q68" s="7">
        <f t="shared" si="44"/>
        <v>7088729.655766569</v>
      </c>
      <c r="R68" s="7">
        <f t="shared" si="44"/>
        <v>7646026.304186601</v>
      </c>
      <c r="S68" s="7">
        <f t="shared" si="44"/>
        <v>8231187.785027652</v>
      </c>
      <c r="T68" s="7">
        <f t="shared" si="44"/>
        <v>8845607.339910753</v>
      </c>
      <c r="U68" s="7">
        <f t="shared" si="44"/>
        <v>9490747.872538015</v>
      </c>
      <c r="V68" s="7">
        <f t="shared" si="44"/>
        <v>10168145.431796653</v>
      </c>
      <c r="W68" s="7">
        <f t="shared" si="44"/>
        <v>10879412.869018212</v>
      </c>
      <c r="X68" s="7">
        <f t="shared" si="44"/>
        <v>11626243.678100847</v>
      </c>
      <c r="Y68" s="7">
        <f t="shared" si="44"/>
        <v>12410416.027637636</v>
      </c>
      <c r="Z68" s="7">
        <f t="shared" si="44"/>
        <v>13233796.994651197</v>
      </c>
    </row>
    <row r="69" spans="2:26" ht="15">
      <c r="B69" t="s">
        <v>138</v>
      </c>
      <c r="K69" s="7">
        <f aca="true" t="shared" si="45" ref="K69:Z69">K47*EmpDiscrVA</f>
        <v>59640888.695726246</v>
      </c>
      <c r="L69" s="7">
        <f t="shared" si="45"/>
        <v>65462975.449356705</v>
      </c>
      <c r="M69" s="7">
        <f t="shared" si="45"/>
        <v>71576166.54066867</v>
      </c>
      <c r="N69" s="7">
        <f t="shared" si="45"/>
        <v>77995017.18654624</v>
      </c>
      <c r="O69" s="7">
        <f t="shared" si="45"/>
        <v>84734810.36471795</v>
      </c>
      <c r="P69" s="7">
        <f t="shared" si="45"/>
        <v>91811593.20179798</v>
      </c>
      <c r="Q69" s="7">
        <f t="shared" si="45"/>
        <v>99242215.18073198</v>
      </c>
      <c r="R69" s="7">
        <f t="shared" si="45"/>
        <v>107044368.25861242</v>
      </c>
      <c r="S69" s="7">
        <f t="shared" si="45"/>
        <v>115236628.99038713</v>
      </c>
      <c r="T69" s="7">
        <f t="shared" si="45"/>
        <v>123838502.75875054</v>
      </c>
      <c r="U69" s="7">
        <f t="shared" si="45"/>
        <v>132870470.21553221</v>
      </c>
      <c r="V69" s="7">
        <f t="shared" si="45"/>
        <v>142354036.04515314</v>
      </c>
      <c r="W69" s="7">
        <f t="shared" si="45"/>
        <v>152311780.16625497</v>
      </c>
      <c r="X69" s="7">
        <f t="shared" si="45"/>
        <v>162767411.49341187</v>
      </c>
      <c r="Y69" s="7">
        <f t="shared" si="45"/>
        <v>173745824.38692692</v>
      </c>
      <c r="Z69" s="7">
        <f t="shared" si="45"/>
        <v>185273157.92511675</v>
      </c>
    </row>
    <row r="70" spans="2:26" ht="15">
      <c r="B70" t="s">
        <v>176</v>
      </c>
      <c r="K70" s="7">
        <f aca="true" t="shared" si="46" ref="K70:Z70">K47*EmpAirfareVA</f>
        <v>31950476.08699621</v>
      </c>
      <c r="L70" s="7">
        <f t="shared" si="46"/>
        <v>35069451.133583955</v>
      </c>
      <c r="M70" s="7">
        <f t="shared" si="46"/>
        <v>38344374.93250108</v>
      </c>
      <c r="N70" s="7">
        <f t="shared" si="46"/>
        <v>41783044.92136406</v>
      </c>
      <c r="O70" s="7">
        <f t="shared" si="46"/>
        <v>45393648.40967034</v>
      </c>
      <c r="P70" s="7">
        <f t="shared" si="46"/>
        <v>49184782.07239178</v>
      </c>
      <c r="Q70" s="7">
        <f t="shared" si="46"/>
        <v>53165472.41824928</v>
      </c>
      <c r="R70" s="7">
        <f t="shared" si="46"/>
        <v>57345197.28139952</v>
      </c>
      <c r="S70" s="7">
        <f t="shared" si="46"/>
        <v>61733908.3877074</v>
      </c>
      <c r="T70" s="7">
        <f t="shared" si="46"/>
        <v>66342055.04933066</v>
      </c>
      <c r="U70" s="7">
        <f t="shared" si="46"/>
        <v>71180609.04403512</v>
      </c>
      <c r="V70" s="7">
        <f t="shared" si="46"/>
        <v>76261090.73847492</v>
      </c>
      <c r="W70" s="7">
        <f t="shared" si="46"/>
        <v>81595596.5176366</v>
      </c>
      <c r="X70" s="7">
        <f t="shared" si="46"/>
        <v>87196827.58575638</v>
      </c>
      <c r="Y70" s="7">
        <f t="shared" si="46"/>
        <v>93078120.20728229</v>
      </c>
      <c r="Z70" s="7">
        <f t="shared" si="46"/>
        <v>99253477.45988399</v>
      </c>
    </row>
    <row r="71" spans="2:26" ht="15">
      <c r="B71" t="s">
        <v>140</v>
      </c>
      <c r="K71" s="15">
        <f aca="true" t="shared" si="47" ref="K71:Z71">K49*EmpConstructVA</f>
        <v>523951059.80468094</v>
      </c>
      <c r="L71" s="15">
        <f t="shared" si="47"/>
        <v>51147603.457122535</v>
      </c>
      <c r="M71" s="15">
        <f t="shared" si="47"/>
        <v>53704983.62997973</v>
      </c>
      <c r="N71" s="15">
        <f t="shared" si="47"/>
        <v>56390232.8114799</v>
      </c>
      <c r="O71" s="15">
        <f t="shared" si="47"/>
        <v>59209744.45205328</v>
      </c>
      <c r="P71" s="15">
        <f t="shared" si="47"/>
        <v>62170231.674655974</v>
      </c>
      <c r="Q71" s="15">
        <f t="shared" si="47"/>
        <v>65278743.25838837</v>
      </c>
      <c r="R71" s="15">
        <f t="shared" si="47"/>
        <v>68542680.42130575</v>
      </c>
      <c r="S71" s="15">
        <f t="shared" si="47"/>
        <v>71969814.44237137</v>
      </c>
      <c r="T71" s="15">
        <f t="shared" si="47"/>
        <v>75568305.16449264</v>
      </c>
      <c r="U71" s="15">
        <f t="shared" si="47"/>
        <v>79346720.42271718</v>
      </c>
      <c r="V71" s="15">
        <f t="shared" si="47"/>
        <v>83314056.44385248</v>
      </c>
      <c r="W71" s="15">
        <f t="shared" si="47"/>
        <v>87479759.26604587</v>
      </c>
      <c r="X71" s="15">
        <f t="shared" si="47"/>
        <v>91853747.22934717</v>
      </c>
      <c r="Y71" s="15">
        <f t="shared" si="47"/>
        <v>96446434.5908153</v>
      </c>
      <c r="Z71" s="15">
        <f t="shared" si="47"/>
        <v>101268756.32035375</v>
      </c>
    </row>
    <row r="72" spans="2:26" ht="15">
      <c r="B72" t="s">
        <v>179</v>
      </c>
      <c r="K72" s="7">
        <f>SUM(K67:K71)</f>
        <v>659229533.6376444</v>
      </c>
      <c r="L72" s="7">
        <f aca="true" t="shared" si="48" ref="L72:Z72">SUM(L67:L71)</f>
        <v>199631833.06901821</v>
      </c>
      <c r="M72" s="7">
        <f t="shared" si="48"/>
        <v>216055256.80975422</v>
      </c>
      <c r="N72" s="7">
        <f t="shared" si="48"/>
        <v>233299851.73752716</v>
      </c>
      <c r="O72" s="7">
        <f t="shared" si="48"/>
        <v>251406676.41168752</v>
      </c>
      <c r="P72" s="7">
        <f t="shared" si="48"/>
        <v>270418842.319556</v>
      </c>
      <c r="Q72" s="7">
        <f t="shared" si="48"/>
        <v>290381616.5228173</v>
      </c>
      <c r="R72" s="7">
        <f t="shared" si="48"/>
        <v>311342529.43623954</v>
      </c>
      <c r="S72" s="7">
        <f t="shared" si="48"/>
        <v>333351487.99533576</v>
      </c>
      <c r="T72" s="7">
        <f t="shared" si="48"/>
        <v>356460894.4823891</v>
      </c>
      <c r="U72" s="7">
        <f t="shared" si="48"/>
        <v>380725771.2937926</v>
      </c>
      <c r="V72" s="7">
        <f t="shared" si="48"/>
        <v>406203891.9457661</v>
      </c>
      <c r="W72" s="7">
        <f t="shared" si="48"/>
        <v>432955918.6303392</v>
      </c>
      <c r="X72" s="7">
        <f t="shared" si="48"/>
        <v>461045546.6491393</v>
      </c>
      <c r="Y72" s="7">
        <f t="shared" si="48"/>
        <v>490539656.0688818</v>
      </c>
      <c r="Z72" s="7">
        <f t="shared" si="48"/>
        <v>521508470.9596061</v>
      </c>
    </row>
    <row r="73" spans="2:26" ht="15">
      <c r="B73" t="s">
        <v>147</v>
      </c>
      <c r="K73" s="7">
        <f aca="true" t="shared" si="49" ref="K73:Z73">K47*Taxes</f>
        <v>147114192.11612475</v>
      </c>
      <c r="L73" s="7">
        <f t="shared" si="49"/>
        <v>161475339.44174656</v>
      </c>
      <c r="M73" s="7">
        <f t="shared" si="49"/>
        <v>176554544.1336494</v>
      </c>
      <c r="N73" s="7">
        <f t="shared" si="49"/>
        <v>192387709.06014737</v>
      </c>
      <c r="O73" s="7">
        <f t="shared" si="49"/>
        <v>209012532.23297095</v>
      </c>
      <c r="P73" s="7">
        <f t="shared" si="49"/>
        <v>226468596.564435</v>
      </c>
      <c r="Q73" s="7">
        <f t="shared" si="49"/>
        <v>244797464.1124722</v>
      </c>
      <c r="R73" s="7">
        <f t="shared" si="49"/>
        <v>264042775.03791064</v>
      </c>
      <c r="S73" s="7">
        <f t="shared" si="49"/>
        <v>284250351.5096216</v>
      </c>
      <c r="T73" s="7">
        <f t="shared" si="49"/>
        <v>305468306.804918</v>
      </c>
      <c r="U73" s="7">
        <f t="shared" si="49"/>
        <v>327747159.8649795</v>
      </c>
      <c r="V73" s="7">
        <f t="shared" si="49"/>
        <v>351139955.5780445</v>
      </c>
      <c r="W73" s="7">
        <f t="shared" si="49"/>
        <v>375702391.07676226</v>
      </c>
      <c r="X73" s="7">
        <f t="shared" si="49"/>
        <v>401492948.35041595</v>
      </c>
      <c r="Y73" s="7">
        <f t="shared" si="49"/>
        <v>428573033.48775303</v>
      </c>
      <c r="Z73" s="7">
        <f t="shared" si="49"/>
        <v>457007122.88195467</v>
      </c>
    </row>
    <row r="74" spans="2:26" ht="15">
      <c r="B74" t="s">
        <v>180</v>
      </c>
      <c r="K74" s="7">
        <f aca="true" t="shared" si="50" ref="K74:Z74">K51-K72-K73</f>
        <v>211598623.86434722</v>
      </c>
      <c r="L74" s="7">
        <f t="shared" si="50"/>
        <v>57604326.73525745</v>
      </c>
      <c r="M74" s="7">
        <f t="shared" si="50"/>
        <v>62243984.528978914</v>
      </c>
      <c r="N74" s="7">
        <f t="shared" si="50"/>
        <v>67115625.21238673</v>
      </c>
      <c r="O74" s="7">
        <f t="shared" si="50"/>
        <v>72230847.92996466</v>
      </c>
      <c r="P74" s="7">
        <f t="shared" si="50"/>
        <v>77601831.7834208</v>
      </c>
      <c r="Q74" s="7">
        <f t="shared" si="50"/>
        <v>83241364.82955042</v>
      </c>
      <c r="R74" s="7">
        <f t="shared" si="50"/>
        <v>89162874.52798414</v>
      </c>
      <c r="S74" s="7">
        <f t="shared" si="50"/>
        <v>95380459.71134168</v>
      </c>
      <c r="T74" s="7">
        <f t="shared" si="50"/>
        <v>101908924.15386647</v>
      </c>
      <c r="U74" s="7">
        <f t="shared" si="50"/>
        <v>108763811.818519</v>
      </c>
      <c r="V74" s="7">
        <f t="shared" si="50"/>
        <v>115961443.86640435</v>
      </c>
      <c r="W74" s="7">
        <f t="shared" si="50"/>
        <v>123518957.51668203</v>
      </c>
      <c r="X74" s="7">
        <f t="shared" si="50"/>
        <v>131454346.8494724</v>
      </c>
      <c r="Y74" s="7">
        <f t="shared" si="50"/>
        <v>139786505.64890492</v>
      </c>
      <c r="Z74" s="7">
        <f t="shared" si="50"/>
        <v>148535272.388309</v>
      </c>
    </row>
    <row r="75" spans="11:26" ht="15">
      <c r="K75" s="7"/>
      <c r="L75" s="7"/>
      <c r="M75" s="7"/>
      <c r="N75" s="7"/>
      <c r="O75" s="7"/>
      <c r="P75" s="7"/>
      <c r="Q75" s="7"/>
      <c r="R75" s="7"/>
      <c r="S75" s="7"/>
      <c r="T75" s="7"/>
      <c r="U75" s="7"/>
      <c r="V75" s="7"/>
      <c r="W75" s="7"/>
      <c r="X75" s="7"/>
      <c r="Y75" s="7"/>
      <c r="Z75" s="7"/>
    </row>
    <row r="76" spans="2:26" ht="15">
      <c r="B76" t="s">
        <v>134</v>
      </c>
      <c r="K76" s="4">
        <f aca="true" t="shared" si="51" ref="K76:Z76">K67/(mosalary*12)</f>
        <v>121.01610058924136</v>
      </c>
      <c r="L76" s="4">
        <f t="shared" si="51"/>
        <v>132.82957707533407</v>
      </c>
      <c r="M76" s="4">
        <f t="shared" si="51"/>
        <v>145.23372738573133</v>
      </c>
      <c r="N76" s="4">
        <f t="shared" si="51"/>
        <v>158.2580852116485</v>
      </c>
      <c r="O76" s="4">
        <f t="shared" si="51"/>
        <v>171.93366092886205</v>
      </c>
      <c r="P76" s="4">
        <f t="shared" si="51"/>
        <v>186.29301543193574</v>
      </c>
      <c r="Q76" s="4">
        <f t="shared" si="51"/>
        <v>201.37033766016307</v>
      </c>
      <c r="R76" s="4">
        <f t="shared" si="51"/>
        <v>217.20152599980122</v>
      </c>
      <c r="S76" s="4">
        <f t="shared" si="51"/>
        <v>233.8242737564218</v>
      </c>
      <c r="T76" s="4">
        <f t="shared" si="51"/>
        <v>251.27815890087334</v>
      </c>
      <c r="U76" s="4">
        <f t="shared" si="51"/>
        <v>269.6047383025476</v>
      </c>
      <c r="V76" s="4">
        <f t="shared" si="51"/>
        <v>288.84764667430596</v>
      </c>
      <c r="W76" s="4">
        <f t="shared" si="51"/>
        <v>309.0527004646519</v>
      </c>
      <c r="X76" s="4">
        <f t="shared" si="51"/>
        <v>330.26800694451515</v>
      </c>
      <c r="Y76" s="4">
        <f t="shared" si="51"/>
        <v>352.5440787483721</v>
      </c>
      <c r="Z76" s="4">
        <f t="shared" si="51"/>
        <v>375.9339541424201</v>
      </c>
    </row>
    <row r="77" spans="2:26" ht="15">
      <c r="B77" t="s">
        <v>137</v>
      </c>
      <c r="K77" s="4">
        <f aca="true" t="shared" si="52" ref="K77:Z77">K68/(mosalary*12)</f>
        <v>13.075701283812649</v>
      </c>
      <c r="L77" s="4">
        <f t="shared" si="52"/>
        <v>14.352138790089604</v>
      </c>
      <c r="M77" s="4">
        <f t="shared" si="52"/>
        <v>15.692398171680408</v>
      </c>
      <c r="N77" s="4">
        <f t="shared" si="52"/>
        <v>17.09967052235075</v>
      </c>
      <c r="O77" s="4">
        <f t="shared" si="52"/>
        <v>18.577306490554665</v>
      </c>
      <c r="P77" s="4">
        <f t="shared" si="52"/>
        <v>20.12882425716872</v>
      </c>
      <c r="Q77" s="4">
        <f t="shared" si="52"/>
        <v>21.75791791211347</v>
      </c>
      <c r="R77" s="4">
        <f t="shared" si="52"/>
        <v>23.468466249805406</v>
      </c>
      <c r="S77" s="4">
        <f t="shared" si="52"/>
        <v>25.26454200438199</v>
      </c>
      <c r="T77" s="4">
        <f t="shared" si="52"/>
        <v>27.150421546687394</v>
      </c>
      <c r="U77" s="4">
        <f t="shared" si="52"/>
        <v>29.13059506610809</v>
      </c>
      <c r="V77" s="4">
        <f t="shared" si="52"/>
        <v>31.209777261499855</v>
      </c>
      <c r="W77" s="4">
        <f t="shared" si="52"/>
        <v>33.39291856666118</v>
      </c>
      <c r="X77" s="4">
        <f t="shared" si="52"/>
        <v>35.68521693708056</v>
      </c>
      <c r="Y77" s="4">
        <f t="shared" si="52"/>
        <v>38.092130226020984</v>
      </c>
      <c r="Z77" s="4">
        <f t="shared" si="52"/>
        <v>40.619389179408216</v>
      </c>
    </row>
    <row r="78" spans="2:26" ht="15">
      <c r="B78" t="s">
        <v>139</v>
      </c>
      <c r="K78" s="4">
        <f aca="true" t="shared" si="53" ref="K78:Z78">K69/(mosalary*12)</f>
        <v>183.05981797337705</v>
      </c>
      <c r="L78" s="4">
        <f t="shared" si="53"/>
        <v>200.92994306125448</v>
      </c>
      <c r="M78" s="4">
        <f t="shared" si="53"/>
        <v>219.69357440352567</v>
      </c>
      <c r="N78" s="4">
        <f t="shared" si="53"/>
        <v>239.3953873129105</v>
      </c>
      <c r="O78" s="4">
        <f t="shared" si="53"/>
        <v>260.0822908677653</v>
      </c>
      <c r="P78" s="4">
        <f t="shared" si="53"/>
        <v>281.8035396003621</v>
      </c>
      <c r="Q78" s="4">
        <f t="shared" si="53"/>
        <v>304.61085076958864</v>
      </c>
      <c r="R78" s="4">
        <f t="shared" si="53"/>
        <v>328.5585274972757</v>
      </c>
      <c r="S78" s="4">
        <f t="shared" si="53"/>
        <v>353.70358806134783</v>
      </c>
      <c r="T78" s="4">
        <f t="shared" si="53"/>
        <v>380.1059016536235</v>
      </c>
      <c r="U78" s="4">
        <f t="shared" si="53"/>
        <v>407.8283309255132</v>
      </c>
      <c r="V78" s="4">
        <f t="shared" si="53"/>
        <v>436.936881660998</v>
      </c>
      <c r="W78" s="4">
        <f t="shared" si="53"/>
        <v>467.5008599332565</v>
      </c>
      <c r="X78" s="4">
        <f t="shared" si="53"/>
        <v>499.59303711912787</v>
      </c>
      <c r="Y78" s="4">
        <f t="shared" si="53"/>
        <v>533.2898231642938</v>
      </c>
      <c r="Z78" s="4">
        <f t="shared" si="53"/>
        <v>568.671448511715</v>
      </c>
    </row>
    <row r="79" spans="2:26" ht="15">
      <c r="B79" t="s">
        <v>178</v>
      </c>
      <c r="K79" s="4">
        <f>K70/((mosalary*12)*(1-BA_Data!$G35)+32000*12*BA_Data!$G35)</f>
        <v>88.57417411564707</v>
      </c>
      <c r="L79" s="4">
        <f>L70/((mosalary*12)*(1-BA_Data!$G35)+32000*12*BA_Data!$G35)</f>
        <v>97.2207006364603</v>
      </c>
      <c r="M79" s="4">
        <f>M70/((mosalary*12)*(1-BA_Data!$G35)+32000*12*BA_Data!$G35)</f>
        <v>106.29955348331414</v>
      </c>
      <c r="N79" s="4">
        <f>N70/((mosalary*12)*(1-BA_Data!$G35)+32000*12*BA_Data!$G35)</f>
        <v>115.8323489725107</v>
      </c>
      <c r="O79" s="4">
        <f>O70/((mosalary*12)*(1-BA_Data!$G35)+32000*12*BA_Data!$G35)</f>
        <v>125.8417842361675</v>
      </c>
      <c r="P79" s="4">
        <f>P70/((mosalary*12)*(1-BA_Data!$G35)+32000*12*BA_Data!$G35)</f>
        <v>136.3516912630067</v>
      </c>
      <c r="Q79" s="4">
        <f>Q70/((mosalary*12)*(1-BA_Data!$G35)+32000*12*BA_Data!$G35)</f>
        <v>147.38709364118785</v>
      </c>
      <c r="R79" s="4">
        <f>R70/((mosalary*12)*(1-BA_Data!$G35)+32000*12*BA_Data!$G35)</f>
        <v>158.97426613827767</v>
      </c>
      <c r="S79" s="4">
        <f>S70/((mosalary*12)*(1-BA_Data!$G35)+32000*12*BA_Data!$G35)</f>
        <v>171.1407972602223</v>
      </c>
      <c r="T79" s="4">
        <f>T70/((mosalary*12)*(1-BA_Data!$G35)+32000*12*BA_Data!$G35)</f>
        <v>183.9156549382642</v>
      </c>
      <c r="U79" s="4">
        <f>U70/((mosalary*12)*(1-BA_Data!$G35)+32000*12*BA_Data!$G35)</f>
        <v>197.32925550020826</v>
      </c>
      <c r="V79" s="4">
        <f>V70/((mosalary*12)*(1-BA_Data!$G35)+32000*12*BA_Data!$G35)</f>
        <v>211.41353609024983</v>
      </c>
      <c r="W79" s="4">
        <f>W70/((mosalary*12)*(1-BA_Data!$G35)+32000*12*BA_Data!$G35)</f>
        <v>226.20203070979318</v>
      </c>
      <c r="X79" s="4">
        <f>X70/((mosalary*12)*(1-BA_Data!$G35)+32000*12*BA_Data!$G35)</f>
        <v>241.72995006031374</v>
      </c>
      <c r="Y79" s="4">
        <f>Y70/((mosalary*12)*(1-BA_Data!$G35)+32000*12*BA_Data!$G35)</f>
        <v>258.0342653783608</v>
      </c>
      <c r="Z79" s="4">
        <f>Z70/((mosalary*12)*(1-BA_Data!$G35)+32000*12*BA_Data!$G35)</f>
        <v>275.15379646230866</v>
      </c>
    </row>
    <row r="80" spans="2:26" ht="15">
      <c r="B80" t="s">
        <v>141</v>
      </c>
      <c r="K80" s="4">
        <f aca="true" t="shared" si="54" ref="K80:Z80">K71/(mosalary*12)</f>
        <v>1608.198464716639</v>
      </c>
      <c r="L80" s="4">
        <f t="shared" si="54"/>
        <v>156.9908025080495</v>
      </c>
      <c r="M80" s="4">
        <f t="shared" si="54"/>
        <v>164.84034263345526</v>
      </c>
      <c r="N80" s="4">
        <f t="shared" si="54"/>
        <v>173.08235976513166</v>
      </c>
      <c r="O80" s="4">
        <f t="shared" si="54"/>
        <v>181.73647775338637</v>
      </c>
      <c r="P80" s="4">
        <f t="shared" si="54"/>
        <v>190.8233016410558</v>
      </c>
      <c r="Q80" s="4">
        <f t="shared" si="54"/>
        <v>200.36446672310734</v>
      </c>
      <c r="R80" s="4">
        <f t="shared" si="54"/>
        <v>210.38269005925645</v>
      </c>
      <c r="S80" s="4">
        <f t="shared" si="54"/>
        <v>220.90182456222027</v>
      </c>
      <c r="T80" s="4">
        <f t="shared" si="54"/>
        <v>231.94691579033957</v>
      </c>
      <c r="U80" s="4">
        <f t="shared" si="54"/>
        <v>243.5442615798563</v>
      </c>
      <c r="V80" s="4">
        <f t="shared" si="54"/>
        <v>255.7214746588474</v>
      </c>
      <c r="W80" s="4">
        <f t="shared" si="54"/>
        <v>268.5075483917921</v>
      </c>
      <c r="X80" s="4">
        <f t="shared" si="54"/>
        <v>281.93292581137865</v>
      </c>
      <c r="Y80" s="4">
        <f t="shared" si="54"/>
        <v>296.02957210195</v>
      </c>
      <c r="Z80" s="4">
        <f t="shared" si="54"/>
        <v>310.83105070704033</v>
      </c>
    </row>
    <row r="82" ht="15">
      <c r="K82" s="4"/>
    </row>
  </sheetData>
  <sheetProtection/>
  <mergeCells count="1">
    <mergeCell ref="B1:J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AU80"/>
  <sheetViews>
    <sheetView zoomScalePageLayoutView="0" workbookViewId="0" topLeftCell="A1">
      <selection activeCell="A1" sqref="A1"/>
    </sheetView>
  </sheetViews>
  <sheetFormatPr defaultColWidth="9.140625" defaultRowHeight="15"/>
  <cols>
    <col min="1" max="1" width="7.7109375" style="0" customWidth="1"/>
    <col min="7" max="7" width="13.7109375" style="0" customWidth="1"/>
    <col min="8" max="8" width="12.8515625" style="0" customWidth="1"/>
    <col min="9" max="9" width="12.57421875" style="0" customWidth="1"/>
    <col min="11" max="11" width="3.7109375" style="0" customWidth="1"/>
    <col min="15" max="15" width="13.421875" style="0" bestFit="1" customWidth="1"/>
    <col min="16" max="16" width="12.7109375" style="0" customWidth="1"/>
    <col min="20" max="20" width="19.7109375" style="0" customWidth="1"/>
  </cols>
  <sheetData>
    <row r="1" spans="2:15" s="127" customFormat="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382"/>
      <c r="J1" s="382"/>
      <c r="K1" s="296"/>
      <c r="L1" s="296"/>
      <c r="O1" s="242" t="str">
        <f>'User''s Guide'!C1</f>
        <v>Last  Updated : 'September 2011</v>
      </c>
    </row>
    <row r="2" spans="1:7" s="133" customFormat="1" ht="20.25">
      <c r="A2" s="130"/>
      <c r="B2" s="131" t="s">
        <v>432</v>
      </c>
      <c r="C2" s="130"/>
      <c r="D2" s="130"/>
      <c r="E2" s="130"/>
      <c r="F2" s="130"/>
      <c r="G2" s="132"/>
    </row>
    <row r="3" spans="1:7" s="133" customFormat="1" ht="20.25" customHeight="1">
      <c r="A3" s="130"/>
      <c r="B3" s="134"/>
      <c r="C3" s="130"/>
      <c r="D3" s="130"/>
      <c r="E3" s="130"/>
      <c r="F3" s="130"/>
      <c r="G3" s="130"/>
    </row>
    <row r="4" ht="15">
      <c r="B4" t="s">
        <v>101</v>
      </c>
    </row>
    <row r="5" ht="15">
      <c r="B5" t="s">
        <v>23</v>
      </c>
    </row>
    <row r="7" ht="15">
      <c r="B7" t="s">
        <v>12</v>
      </c>
    </row>
    <row r="8" ht="15">
      <c r="D8" t="s">
        <v>13</v>
      </c>
    </row>
    <row r="9" ht="15">
      <c r="D9" t="s">
        <v>0</v>
      </c>
    </row>
    <row r="10" spans="4:26" ht="30">
      <c r="D10" s="1" t="s">
        <v>1</v>
      </c>
      <c r="E10" s="1" t="s">
        <v>3</v>
      </c>
      <c r="F10" s="1" t="s">
        <v>4</v>
      </c>
      <c r="G10" s="1" t="s">
        <v>2</v>
      </c>
      <c r="H10" s="1" t="s">
        <v>5</v>
      </c>
      <c r="I10" s="1" t="s">
        <v>6</v>
      </c>
      <c r="J10" s="1" t="s">
        <v>7</v>
      </c>
      <c r="L10" s="1" t="s">
        <v>1</v>
      </c>
      <c r="M10" s="1" t="s">
        <v>3</v>
      </c>
      <c r="N10" s="1" t="s">
        <v>4</v>
      </c>
      <c r="O10" s="1" t="s">
        <v>2</v>
      </c>
      <c r="P10" s="1" t="s">
        <v>5</v>
      </c>
      <c r="Q10" s="1" t="s">
        <v>6</v>
      </c>
      <c r="R10" s="1" t="s">
        <v>7</v>
      </c>
      <c r="W10" t="s">
        <v>28</v>
      </c>
      <c r="Z10" t="s">
        <v>102</v>
      </c>
    </row>
    <row r="11" spans="4:26" ht="30">
      <c r="D11" s="301" t="s">
        <v>396</v>
      </c>
      <c r="E11" s="301" t="s">
        <v>423</v>
      </c>
      <c r="F11" s="301" t="s">
        <v>398</v>
      </c>
      <c r="G11" s="301" t="s">
        <v>399</v>
      </c>
      <c r="H11" s="301" t="s">
        <v>400</v>
      </c>
      <c r="I11" s="301" t="s">
        <v>401</v>
      </c>
      <c r="J11" s="301" t="s">
        <v>7</v>
      </c>
      <c r="L11" s="301" t="s">
        <v>396</v>
      </c>
      <c r="M11" s="301" t="s">
        <v>423</v>
      </c>
      <c r="N11" s="301" t="s">
        <v>398</v>
      </c>
      <c r="O11" s="301" t="s">
        <v>399</v>
      </c>
      <c r="P11" s="301" t="s">
        <v>400</v>
      </c>
      <c r="Q11" s="301" t="s">
        <v>401</v>
      </c>
      <c r="R11" s="301"/>
      <c r="Z11" t="s">
        <v>100</v>
      </c>
    </row>
    <row r="12" spans="4:47" ht="15">
      <c r="D12" t="s">
        <v>8</v>
      </c>
      <c r="E12" t="s">
        <v>8</v>
      </c>
      <c r="F12" t="s">
        <v>8</v>
      </c>
      <c r="G12" t="s">
        <v>9</v>
      </c>
      <c r="H12" t="s">
        <v>10</v>
      </c>
      <c r="I12" t="s">
        <v>11</v>
      </c>
      <c r="J12" t="s">
        <v>8</v>
      </c>
      <c r="W12">
        <v>0</v>
      </c>
      <c r="X12">
        <v>1</v>
      </c>
      <c r="Y12">
        <v>2</v>
      </c>
      <c r="Z12">
        <v>3</v>
      </c>
      <c r="AA12">
        <v>4</v>
      </c>
      <c r="AB12">
        <v>5</v>
      </c>
      <c r="AC12">
        <v>6</v>
      </c>
      <c r="AD12">
        <v>7</v>
      </c>
      <c r="AE12">
        <v>8</v>
      </c>
      <c r="AF12">
        <v>9</v>
      </c>
      <c r="AG12">
        <v>10</v>
      </c>
      <c r="AH12">
        <v>11</v>
      </c>
      <c r="AI12">
        <v>12</v>
      </c>
      <c r="AJ12">
        <v>13</v>
      </c>
      <c r="AK12">
        <v>14</v>
      </c>
      <c r="AL12">
        <v>15</v>
      </c>
      <c r="AM12">
        <v>16</v>
      </c>
      <c r="AN12">
        <v>17</v>
      </c>
      <c r="AO12">
        <v>18</v>
      </c>
      <c r="AP12">
        <v>19</v>
      </c>
      <c r="AQ12">
        <v>20</v>
      </c>
      <c r="AR12">
        <v>21</v>
      </c>
      <c r="AS12">
        <v>22</v>
      </c>
      <c r="AT12">
        <v>23</v>
      </c>
      <c r="AU12">
        <v>24</v>
      </c>
    </row>
    <row r="13" spans="3:47" ht="15">
      <c r="C13">
        <v>2000</v>
      </c>
      <c r="D13" s="303">
        <v>296</v>
      </c>
      <c r="E13" s="303"/>
      <c r="F13" s="303">
        <v>36</v>
      </c>
      <c r="G13" s="303"/>
      <c r="H13" s="303"/>
      <c r="I13" s="303">
        <v>24</v>
      </c>
      <c r="J13" s="302">
        <f>SUM(D13:I13)</f>
        <v>356</v>
      </c>
      <c r="L13" s="305">
        <f>D13/$J13</f>
        <v>0.8314606741573034</v>
      </c>
      <c r="M13" s="305">
        <f>E13/$J13</f>
        <v>0</v>
      </c>
      <c r="N13" s="305">
        <f aca="true" t="shared" si="0" ref="N13:Q23">F13/$J13</f>
        <v>0.10112359550561797</v>
      </c>
      <c r="O13" s="305">
        <f t="shared" si="0"/>
        <v>0</v>
      </c>
      <c r="P13" s="305">
        <f t="shared" si="0"/>
        <v>0</v>
      </c>
      <c r="Q13" s="305">
        <f t="shared" si="0"/>
        <v>0.06741573033707865</v>
      </c>
      <c r="T13" t="s">
        <v>74</v>
      </c>
      <c r="U13" s="8">
        <v>2009</v>
      </c>
      <c r="V13" s="8">
        <v>2010</v>
      </c>
      <c r="W13" s="8">
        <v>2011</v>
      </c>
      <c r="X13" s="8">
        <v>2012</v>
      </c>
      <c r="Y13" s="8">
        <v>2013</v>
      </c>
      <c r="Z13" s="309">
        <v>2014</v>
      </c>
      <c r="AA13" s="8">
        <v>2015</v>
      </c>
      <c r="AB13" s="8">
        <v>2016</v>
      </c>
      <c r="AC13" s="8">
        <v>2017</v>
      </c>
      <c r="AD13" s="8">
        <v>2018</v>
      </c>
      <c r="AE13" s="8">
        <v>2019</v>
      </c>
      <c r="AF13" s="8">
        <v>2020</v>
      </c>
      <c r="AG13" s="8">
        <v>2021</v>
      </c>
      <c r="AH13" s="8">
        <v>2022</v>
      </c>
      <c r="AI13" s="8">
        <v>2023</v>
      </c>
      <c r="AJ13" s="8">
        <v>2024</v>
      </c>
      <c r="AK13" s="8">
        <v>2025</v>
      </c>
      <c r="AL13" s="8">
        <v>2026</v>
      </c>
      <c r="AM13" s="8">
        <v>2027</v>
      </c>
      <c r="AN13" s="8">
        <v>2028</v>
      </c>
      <c r="AO13" s="8">
        <v>2029</v>
      </c>
      <c r="AP13" s="8">
        <v>2030</v>
      </c>
      <c r="AQ13" s="8">
        <v>2031</v>
      </c>
      <c r="AR13" s="8">
        <v>2032</v>
      </c>
      <c r="AS13" s="8">
        <v>2033</v>
      </c>
      <c r="AT13" s="8">
        <v>2034</v>
      </c>
      <c r="AU13" s="8">
        <v>2035</v>
      </c>
    </row>
    <row r="14" spans="3:47" ht="15">
      <c r="C14">
        <v>2001</v>
      </c>
      <c r="D14" s="303">
        <v>310</v>
      </c>
      <c r="E14" s="303"/>
      <c r="F14" s="303">
        <v>36</v>
      </c>
      <c r="G14" s="303"/>
      <c r="H14" s="303"/>
      <c r="I14" s="303">
        <v>25</v>
      </c>
      <c r="J14" s="302">
        <f aca="true" t="shared" si="1" ref="J14:J23">SUM(D14:I14)</f>
        <v>371</v>
      </c>
      <c r="L14" s="305">
        <f aca="true" t="shared" si="2" ref="L14:M23">D14/$J14</f>
        <v>0.8355795148247979</v>
      </c>
      <c r="M14" s="305">
        <f t="shared" si="2"/>
        <v>0</v>
      </c>
      <c r="N14" s="305">
        <f t="shared" si="0"/>
        <v>0.09703504043126684</v>
      </c>
      <c r="O14" s="305">
        <f t="shared" si="0"/>
        <v>0</v>
      </c>
      <c r="P14" s="305">
        <f t="shared" si="0"/>
        <v>0</v>
      </c>
      <c r="Q14" s="305">
        <f t="shared" si="0"/>
        <v>0.0673854447439353</v>
      </c>
      <c r="T14" s="1" t="s">
        <v>95</v>
      </c>
      <c r="V14">
        <v>3070</v>
      </c>
      <c r="W14" s="4">
        <f aca="true" t="shared" si="3" ref="W14:AB14">V14*(1+BVTourHotelGrowth)</f>
        <v>3343.23</v>
      </c>
      <c r="X14" s="4">
        <f t="shared" si="3"/>
        <v>3640.77747</v>
      </c>
      <c r="Y14" s="4">
        <f t="shared" si="3"/>
        <v>3964.80666483</v>
      </c>
      <c r="Z14" s="4">
        <f t="shared" si="3"/>
        <v>4317.67445799987</v>
      </c>
      <c r="AA14" s="4">
        <f t="shared" si="3"/>
        <v>4701.9474847618585</v>
      </c>
      <c r="AB14" s="4">
        <f t="shared" si="3"/>
        <v>5120.4208109056635</v>
      </c>
      <c r="AC14" s="4">
        <f aca="true" t="shared" si="4" ref="AC14:AU14">AB14*(1+TourGrowthLong)</f>
        <v>5376.441851450947</v>
      </c>
      <c r="AD14" s="4">
        <f t="shared" si="4"/>
        <v>5645.263944023494</v>
      </c>
      <c r="AE14" s="4">
        <f t="shared" si="4"/>
        <v>5927.527141224669</v>
      </c>
      <c r="AF14" s="4">
        <f t="shared" si="4"/>
        <v>6223.903498285903</v>
      </c>
      <c r="AG14" s="4">
        <f t="shared" si="4"/>
        <v>6535.098673200198</v>
      </c>
      <c r="AH14" s="4">
        <f t="shared" si="4"/>
        <v>6861.853606860209</v>
      </c>
      <c r="AI14" s="4">
        <f t="shared" si="4"/>
        <v>7204.94628720322</v>
      </c>
      <c r="AJ14" s="4">
        <f t="shared" si="4"/>
        <v>7565.193601563381</v>
      </c>
      <c r="AK14" s="4">
        <f t="shared" si="4"/>
        <v>7943.45328164155</v>
      </c>
      <c r="AL14" s="4">
        <f t="shared" si="4"/>
        <v>8340.625945723628</v>
      </c>
      <c r="AM14" s="4">
        <f t="shared" si="4"/>
        <v>8757.65724300981</v>
      </c>
      <c r="AN14" s="4">
        <f t="shared" si="4"/>
        <v>9195.5401051603</v>
      </c>
      <c r="AO14" s="4">
        <f t="shared" si="4"/>
        <v>9655.317110418317</v>
      </c>
      <c r="AP14" s="4">
        <f t="shared" si="4"/>
        <v>10138.082965939233</v>
      </c>
      <c r="AQ14" s="4">
        <f t="shared" si="4"/>
        <v>10644.987114236195</v>
      </c>
      <c r="AR14" s="4">
        <f t="shared" si="4"/>
        <v>11177.236469948006</v>
      </c>
      <c r="AS14" s="4">
        <f t="shared" si="4"/>
        <v>11736.098293445406</v>
      </c>
      <c r="AT14" s="4">
        <f t="shared" si="4"/>
        <v>12322.903208117677</v>
      </c>
      <c r="AU14" s="4">
        <f t="shared" si="4"/>
        <v>12939.048368523561</v>
      </c>
    </row>
    <row r="15" spans="3:47" ht="15">
      <c r="C15">
        <v>2002</v>
      </c>
      <c r="D15" s="303">
        <v>252</v>
      </c>
      <c r="E15" s="303"/>
      <c r="F15" s="303"/>
      <c r="G15" s="303"/>
      <c r="H15" s="303"/>
      <c r="I15" s="303"/>
      <c r="J15" s="302">
        <f t="shared" si="1"/>
        <v>252</v>
      </c>
      <c r="L15" s="305"/>
      <c r="M15" s="305"/>
      <c r="N15" s="305"/>
      <c r="O15" s="305"/>
      <c r="P15" s="305"/>
      <c r="Q15" s="305"/>
      <c r="T15" s="1" t="s">
        <v>96</v>
      </c>
      <c r="W15" s="4">
        <f>W14-V14</f>
        <v>273.23</v>
      </c>
      <c r="X15" s="4">
        <f aca="true" t="shared" si="5" ref="X15:AS15">X14-W14</f>
        <v>297.54747</v>
      </c>
      <c r="Y15" s="4">
        <f t="shared" si="5"/>
        <v>324.02919483000005</v>
      </c>
      <c r="Z15" s="4">
        <f t="shared" si="5"/>
        <v>352.8677931698703</v>
      </c>
      <c r="AA15" s="4">
        <f t="shared" si="5"/>
        <v>384.27302676198815</v>
      </c>
      <c r="AB15" s="4">
        <f t="shared" si="5"/>
        <v>418.473326143805</v>
      </c>
      <c r="AC15" s="4">
        <f t="shared" si="5"/>
        <v>256.02104054528354</v>
      </c>
      <c r="AD15" s="4">
        <f t="shared" si="5"/>
        <v>268.82209257254726</v>
      </c>
      <c r="AE15" s="4">
        <f t="shared" si="5"/>
        <v>282.263197201175</v>
      </c>
      <c r="AF15" s="4">
        <f t="shared" si="5"/>
        <v>296.37635706123365</v>
      </c>
      <c r="AG15" s="4">
        <f t="shared" si="5"/>
        <v>311.1951749142954</v>
      </c>
      <c r="AH15" s="4">
        <f t="shared" si="5"/>
        <v>326.75493366001047</v>
      </c>
      <c r="AI15" s="4">
        <f t="shared" si="5"/>
        <v>343.0926803430111</v>
      </c>
      <c r="AJ15" s="4">
        <f t="shared" si="5"/>
        <v>360.247314360161</v>
      </c>
      <c r="AK15" s="4">
        <f t="shared" si="5"/>
        <v>378.25968007816937</v>
      </c>
      <c r="AL15" s="4">
        <f t="shared" si="5"/>
        <v>397.172664082078</v>
      </c>
      <c r="AM15" s="4">
        <f t="shared" si="5"/>
        <v>417.03129728618114</v>
      </c>
      <c r="AN15" s="4">
        <f t="shared" si="5"/>
        <v>437.88286215049084</v>
      </c>
      <c r="AO15" s="4">
        <f t="shared" si="5"/>
        <v>459.7770052580163</v>
      </c>
      <c r="AP15" s="4">
        <f t="shared" si="5"/>
        <v>482.7658555209164</v>
      </c>
      <c r="AQ15" s="4">
        <f t="shared" si="5"/>
        <v>506.9041482969624</v>
      </c>
      <c r="AR15" s="4">
        <f t="shared" si="5"/>
        <v>532.2493557118105</v>
      </c>
      <c r="AS15" s="4">
        <f t="shared" si="5"/>
        <v>558.8618234974001</v>
      </c>
      <c r="AT15" s="4">
        <f>AT14-AS14</f>
        <v>586.8049146722715</v>
      </c>
      <c r="AU15" s="4">
        <f>AU14-AT14</f>
        <v>616.1451604058839</v>
      </c>
    </row>
    <row r="16" spans="3:45" ht="15">
      <c r="C16">
        <v>2003</v>
      </c>
      <c r="D16" s="303">
        <v>300</v>
      </c>
      <c r="E16" s="303">
        <v>15</v>
      </c>
      <c r="F16" s="303">
        <v>23</v>
      </c>
      <c r="G16" s="303"/>
      <c r="H16" s="303"/>
      <c r="I16" s="303">
        <v>28</v>
      </c>
      <c r="J16" s="302">
        <f>SUM(D16:I16)</f>
        <v>366</v>
      </c>
      <c r="L16" s="305">
        <f t="shared" si="2"/>
        <v>0.819672131147541</v>
      </c>
      <c r="M16" s="305">
        <f t="shared" si="2"/>
        <v>0.040983606557377046</v>
      </c>
      <c r="N16" s="305">
        <f t="shared" si="0"/>
        <v>0.06284153005464481</v>
      </c>
      <c r="O16" s="305">
        <f t="shared" si="0"/>
        <v>0</v>
      </c>
      <c r="P16" s="305">
        <f t="shared" si="0"/>
        <v>0</v>
      </c>
      <c r="Q16" s="305">
        <f t="shared" si="0"/>
        <v>0.07650273224043716</v>
      </c>
      <c r="T16" s="1" t="s">
        <v>97</v>
      </c>
      <c r="W16" s="4">
        <f>W15</f>
        <v>273.23</v>
      </c>
      <c r="X16" s="4">
        <f>X15</f>
        <v>297.54747</v>
      </c>
      <c r="Y16" s="4">
        <f>Y15</f>
        <v>324.02919483000005</v>
      </c>
      <c r="Z16" s="4">
        <f>Z15</f>
        <v>352.8677931698703</v>
      </c>
      <c r="AA16" s="4">
        <f>AA15</f>
        <v>384.27302676198815</v>
      </c>
      <c r="AB16" s="306">
        <f>AB15+AD15*(RegTimeReduced-12)/12</f>
        <v>687.2954187163523</v>
      </c>
      <c r="AC16" s="4">
        <f>IF(RegTimeReduced=12,AC15+AD15,IF(AND((RegTimeReduced-12)/12&lt;1,(RegTimeReduced-12)/12&gt;0),(1-(RegTimeReduced-12)/12)*AD15+(RegTimeReduced-12)/12*AE15,AE15))</f>
        <v>282.263197201175</v>
      </c>
      <c r="AD16" s="4">
        <f aca="true" t="shared" si="6" ref="AD16:AS16">IF(RegTimeReduced=12,AE15,IF(AND((RegTimeReduced-12)/12&lt;1,(RegTimeReduced-12)/12&gt;0),(1-(RegTimeReduced-12)/12)*AE15+(RegTimeReduced-12)/12*AF15,AF15))</f>
        <v>296.37635706123365</v>
      </c>
      <c r="AE16" s="4">
        <f t="shared" si="6"/>
        <v>311.1951749142954</v>
      </c>
      <c r="AF16" s="4">
        <f t="shared" si="6"/>
        <v>326.75493366001047</v>
      </c>
      <c r="AG16" s="4">
        <f t="shared" si="6"/>
        <v>343.0926803430111</v>
      </c>
      <c r="AH16" s="4">
        <f t="shared" si="6"/>
        <v>360.247314360161</v>
      </c>
      <c r="AI16" s="4">
        <f t="shared" si="6"/>
        <v>378.25968007816937</v>
      </c>
      <c r="AJ16" s="4">
        <f t="shared" si="6"/>
        <v>397.172664082078</v>
      </c>
      <c r="AK16" s="4">
        <f t="shared" si="6"/>
        <v>417.03129728618114</v>
      </c>
      <c r="AL16" s="4">
        <f t="shared" si="6"/>
        <v>437.88286215049084</v>
      </c>
      <c r="AM16" s="4">
        <f t="shared" si="6"/>
        <v>459.7770052580163</v>
      </c>
      <c r="AN16" s="4">
        <f t="shared" si="6"/>
        <v>482.7658555209164</v>
      </c>
      <c r="AO16" s="4">
        <f t="shared" si="6"/>
        <v>506.9041482969624</v>
      </c>
      <c r="AP16" s="4">
        <f t="shared" si="6"/>
        <v>532.2493557118105</v>
      </c>
      <c r="AQ16" s="4">
        <f t="shared" si="6"/>
        <v>558.8618234974001</v>
      </c>
      <c r="AR16" s="4">
        <f t="shared" si="6"/>
        <v>586.8049146722715</v>
      </c>
      <c r="AS16" s="4">
        <f t="shared" si="6"/>
        <v>616.1451604058839</v>
      </c>
    </row>
    <row r="17" spans="3:45" ht="15">
      <c r="C17">
        <v>2004</v>
      </c>
      <c r="D17" s="303">
        <v>76</v>
      </c>
      <c r="E17" s="303"/>
      <c r="F17" s="303"/>
      <c r="G17" s="303"/>
      <c r="H17" s="303"/>
      <c r="I17" s="303"/>
      <c r="J17" s="302">
        <f t="shared" si="1"/>
        <v>76</v>
      </c>
      <c r="L17" s="305">
        <f t="shared" si="2"/>
        <v>1</v>
      </c>
      <c r="M17" s="305">
        <f t="shared" si="2"/>
        <v>0</v>
      </c>
      <c r="N17" s="305">
        <f t="shared" si="0"/>
        <v>0</v>
      </c>
      <c r="O17" s="305">
        <f t="shared" si="0"/>
        <v>0</v>
      </c>
      <c r="P17" s="305">
        <f t="shared" si="0"/>
        <v>0</v>
      </c>
      <c r="Q17" s="305">
        <f t="shared" si="0"/>
        <v>0</v>
      </c>
      <c r="T17" s="1" t="s">
        <v>98</v>
      </c>
      <c r="W17" s="4">
        <f>V14+W16</f>
        <v>3343.23</v>
      </c>
      <c r="X17" s="4">
        <f>W17+X16</f>
        <v>3640.77747</v>
      </c>
      <c r="Y17" s="4">
        <f aca="true" t="shared" si="7" ref="Y17:AQ17">X17+Y16</f>
        <v>3964.80666483</v>
      </c>
      <c r="Z17" s="4">
        <f t="shared" si="7"/>
        <v>4317.67445799987</v>
      </c>
      <c r="AA17" s="4">
        <f t="shared" si="7"/>
        <v>4701.9474847618585</v>
      </c>
      <c r="AB17" s="4">
        <f t="shared" si="7"/>
        <v>5389.242903478211</v>
      </c>
      <c r="AC17" s="4">
        <f t="shared" si="7"/>
        <v>5671.506100679386</v>
      </c>
      <c r="AD17" s="4">
        <f t="shared" si="7"/>
        <v>5967.882457740619</v>
      </c>
      <c r="AE17" s="4">
        <f t="shared" si="7"/>
        <v>6279.077632654915</v>
      </c>
      <c r="AF17" s="4">
        <f t="shared" si="7"/>
        <v>6605.832566314925</v>
      </c>
      <c r="AG17" s="4">
        <f t="shared" si="7"/>
        <v>6948.925246657936</v>
      </c>
      <c r="AH17" s="4">
        <f t="shared" si="7"/>
        <v>7309.172561018097</v>
      </c>
      <c r="AI17" s="4">
        <f t="shared" si="7"/>
        <v>7687.432241096267</v>
      </c>
      <c r="AJ17" s="4">
        <f t="shared" si="7"/>
        <v>8084.604905178345</v>
      </c>
      <c r="AK17" s="4">
        <f t="shared" si="7"/>
        <v>8501.636202464526</v>
      </c>
      <c r="AL17" s="4">
        <f t="shared" si="7"/>
        <v>8939.519064615017</v>
      </c>
      <c r="AM17" s="4">
        <f t="shared" si="7"/>
        <v>9399.296069873033</v>
      </c>
      <c r="AN17" s="4">
        <f t="shared" si="7"/>
        <v>9882.06192539395</v>
      </c>
      <c r="AO17" s="4">
        <f t="shared" si="7"/>
        <v>10388.966073690912</v>
      </c>
      <c r="AP17" s="4">
        <f t="shared" si="7"/>
        <v>10921.215429402722</v>
      </c>
      <c r="AQ17" s="4">
        <f t="shared" si="7"/>
        <v>11480.077252900122</v>
      </c>
      <c r="AR17" s="4">
        <f>AQ17+AR16</f>
        <v>12066.882167572394</v>
      </c>
      <c r="AS17" s="4">
        <f>AR17+AS16</f>
        <v>12683.027327978278</v>
      </c>
    </row>
    <row r="18" spans="3:45" ht="15">
      <c r="C18">
        <v>2005</v>
      </c>
      <c r="D18" s="303">
        <v>1214</v>
      </c>
      <c r="E18" s="303">
        <v>30</v>
      </c>
      <c r="F18" s="303">
        <v>32</v>
      </c>
      <c r="G18" s="303">
        <v>26</v>
      </c>
      <c r="H18" s="303">
        <v>87</v>
      </c>
      <c r="I18" s="303">
        <v>58</v>
      </c>
      <c r="J18" s="302">
        <f t="shared" si="1"/>
        <v>1447</v>
      </c>
      <c r="L18" s="305">
        <f t="shared" si="2"/>
        <v>0.8389771941948859</v>
      </c>
      <c r="M18" s="305">
        <f t="shared" si="2"/>
        <v>0.02073255010366275</v>
      </c>
      <c r="N18" s="305">
        <f t="shared" si="0"/>
        <v>0.0221147201105736</v>
      </c>
      <c r="O18" s="305">
        <f t="shared" si="0"/>
        <v>0.01796821008984105</v>
      </c>
      <c r="P18" s="305">
        <f t="shared" si="0"/>
        <v>0.060124395300621976</v>
      </c>
      <c r="Q18" s="305">
        <f t="shared" si="0"/>
        <v>0.04008293020041465</v>
      </c>
      <c r="T18" s="1" t="s">
        <v>99</v>
      </c>
      <c r="X18" s="3">
        <f>(X17-W17)/W17</f>
        <v>0.089</v>
      </c>
      <c r="Y18" s="3">
        <f aca="true" t="shared" si="8" ref="Y18:AQ18">(Y17-X17)/X17</f>
        <v>0.08900000000000001</v>
      </c>
      <c r="Z18" s="3">
        <f t="shared" si="8"/>
        <v>0.08900000000000008</v>
      </c>
      <c r="AA18" s="3">
        <f t="shared" si="8"/>
        <v>0.08899999999999993</v>
      </c>
      <c r="AB18" s="3">
        <f t="shared" si="8"/>
        <v>0.1461724999999999</v>
      </c>
      <c r="AC18" s="3">
        <f t="shared" si="8"/>
        <v>0.05237529691211407</v>
      </c>
      <c r="AD18" s="3">
        <f t="shared" si="8"/>
        <v>0.05225708159349964</v>
      </c>
      <c r="AE18" s="3">
        <f t="shared" si="8"/>
        <v>0.05214499064247837</v>
      </c>
      <c r="AF18" s="3">
        <f t="shared" si="8"/>
        <v>0.052038683509930135</v>
      </c>
      <c r="AG18" s="3">
        <f t="shared" si="8"/>
        <v>0.05193784082456785</v>
      </c>
      <c r="AH18" s="3">
        <f t="shared" si="8"/>
        <v>0.05184216286301552</v>
      </c>
      <c r="AI18" s="3">
        <f t="shared" si="8"/>
        <v>0.05175136815014276</v>
      </c>
      <c r="AJ18" s="3">
        <f t="shared" si="8"/>
        <v>0.05166519217676241</v>
      </c>
      <c r="AK18" s="3">
        <f t="shared" si="8"/>
        <v>0.051583386223248165</v>
      </c>
      <c r="AL18" s="3">
        <f t="shared" si="8"/>
        <v>0.05150571627889155</v>
      </c>
      <c r="AM18" s="3">
        <f t="shared" si="8"/>
        <v>0.05143196204792889</v>
      </c>
      <c r="AN18" s="3">
        <f t="shared" si="8"/>
        <v>0.05136191603414804</v>
      </c>
      <c r="AO18" s="3">
        <f t="shared" si="8"/>
        <v>0.05129538269684083</v>
      </c>
      <c r="AP18" s="3">
        <f t="shared" si="8"/>
        <v>0.05123217767162436</v>
      </c>
      <c r="AQ18" s="3">
        <f t="shared" si="8"/>
        <v>0.05117212705032814</v>
      </c>
      <c r="AR18" s="3">
        <f>(AR17-AQ17)/AQ17</f>
        <v>0.051115066714732385</v>
      </c>
      <c r="AS18" s="3">
        <f>(AS17-AR17)/AR17</f>
        <v>0.05106084171946791</v>
      </c>
    </row>
    <row r="19" spans="3:29" ht="15">
      <c r="C19">
        <v>2006</v>
      </c>
      <c r="D19" s="303">
        <v>772</v>
      </c>
      <c r="E19" s="303">
        <v>42</v>
      </c>
      <c r="F19" s="303"/>
      <c r="G19" s="303">
        <v>48</v>
      </c>
      <c r="H19" s="303">
        <v>246</v>
      </c>
      <c r="I19" s="303">
        <v>60</v>
      </c>
      <c r="J19" s="302">
        <f t="shared" si="1"/>
        <v>1168</v>
      </c>
      <c r="L19" s="305">
        <f t="shared" si="2"/>
        <v>0.660958904109589</v>
      </c>
      <c r="M19" s="305">
        <f t="shared" si="2"/>
        <v>0.03595890410958904</v>
      </c>
      <c r="N19" s="305">
        <f t="shared" si="0"/>
        <v>0</v>
      </c>
      <c r="O19" s="305">
        <f t="shared" si="0"/>
        <v>0.0410958904109589</v>
      </c>
      <c r="P19" s="305">
        <f t="shared" si="0"/>
        <v>0.2106164383561644</v>
      </c>
      <c r="Q19" s="305">
        <f t="shared" si="0"/>
        <v>0.05136986301369863</v>
      </c>
      <c r="Z19" s="307" t="s">
        <v>402</v>
      </c>
      <c r="AA19" s="304"/>
      <c r="AB19" s="304"/>
      <c r="AC19" s="304"/>
    </row>
    <row r="20" spans="3:26" ht="15">
      <c r="C20">
        <v>2007</v>
      </c>
      <c r="D20" s="303">
        <v>671</v>
      </c>
      <c r="E20" s="303"/>
      <c r="F20" s="303"/>
      <c r="G20" s="303"/>
      <c r="H20" s="303"/>
      <c r="I20" s="303">
        <v>59</v>
      </c>
      <c r="J20" s="302">
        <f t="shared" si="1"/>
        <v>730</v>
      </c>
      <c r="L20" s="305">
        <f t="shared" si="2"/>
        <v>0.9191780821917809</v>
      </c>
      <c r="M20" s="305">
        <f t="shared" si="2"/>
        <v>0</v>
      </c>
      <c r="N20" s="305">
        <f t="shared" si="0"/>
        <v>0</v>
      </c>
      <c r="O20" s="305">
        <f t="shared" si="0"/>
        <v>0</v>
      </c>
      <c r="P20" s="305">
        <f t="shared" si="0"/>
        <v>0</v>
      </c>
      <c r="Q20" s="305">
        <f t="shared" si="0"/>
        <v>0.08082191780821918</v>
      </c>
      <c r="Z20" t="s">
        <v>105</v>
      </c>
    </row>
    <row r="21" spans="3:47" ht="15">
      <c r="C21">
        <v>2008</v>
      </c>
      <c r="D21" s="303">
        <v>2156</v>
      </c>
      <c r="E21" s="303">
        <v>64</v>
      </c>
      <c r="F21" s="303">
        <v>0</v>
      </c>
      <c r="G21" s="303">
        <v>128</v>
      </c>
      <c r="H21" s="303">
        <v>263</v>
      </c>
      <c r="I21" s="303">
        <v>81</v>
      </c>
      <c r="J21" s="302">
        <f t="shared" si="1"/>
        <v>2692</v>
      </c>
      <c r="L21" s="305">
        <f t="shared" si="2"/>
        <v>0.8008915304606241</v>
      </c>
      <c r="M21" s="305">
        <f t="shared" si="2"/>
        <v>0.0237741456166419</v>
      </c>
      <c r="N21" s="305">
        <f t="shared" si="0"/>
        <v>0</v>
      </c>
      <c r="O21" s="305">
        <f t="shared" si="0"/>
        <v>0.0475482912332838</v>
      </c>
      <c r="P21" s="305">
        <f t="shared" si="0"/>
        <v>0.09769687964338782</v>
      </c>
      <c r="Q21" s="305">
        <f t="shared" si="0"/>
        <v>0.030089153046062408</v>
      </c>
      <c r="T21" t="s">
        <v>74</v>
      </c>
      <c r="U21" s="8">
        <v>2009</v>
      </c>
      <c r="V21" s="8">
        <v>2010</v>
      </c>
      <c r="W21" s="8">
        <v>2011</v>
      </c>
      <c r="X21" s="8">
        <v>2012</v>
      </c>
      <c r="Y21" s="8">
        <v>2013</v>
      </c>
      <c r="Z21" s="309">
        <v>2014</v>
      </c>
      <c r="AA21" s="8">
        <v>2015</v>
      </c>
      <c r="AB21" s="8">
        <v>2016</v>
      </c>
      <c r="AC21" s="8">
        <v>2017</v>
      </c>
      <c r="AD21" s="8">
        <v>2018</v>
      </c>
      <c r="AE21" s="8">
        <v>2019</v>
      </c>
      <c r="AF21" s="8">
        <v>2020</v>
      </c>
      <c r="AG21" s="8">
        <v>2021</v>
      </c>
      <c r="AH21" s="8">
        <v>2022</v>
      </c>
      <c r="AI21" s="8">
        <v>2023</v>
      </c>
      <c r="AJ21" s="8">
        <v>2024</v>
      </c>
      <c r="AK21" s="8">
        <v>2025</v>
      </c>
      <c r="AL21" s="8">
        <v>2026</v>
      </c>
      <c r="AM21" s="8">
        <v>2027</v>
      </c>
      <c r="AN21" s="8">
        <v>2028</v>
      </c>
      <c r="AO21" s="8">
        <v>2029</v>
      </c>
      <c r="AP21" s="8">
        <v>2030</v>
      </c>
      <c r="AQ21" s="8">
        <v>2031</v>
      </c>
      <c r="AR21" s="8">
        <v>2032</v>
      </c>
      <c r="AS21" s="8">
        <v>2033</v>
      </c>
      <c r="AT21" s="8">
        <v>2034</v>
      </c>
      <c r="AU21" s="8">
        <v>2035</v>
      </c>
    </row>
    <row r="22" spans="3:47" ht="15">
      <c r="C22">
        <v>2009</v>
      </c>
      <c r="D22" s="303">
        <v>2156</v>
      </c>
      <c r="E22" s="303">
        <v>64</v>
      </c>
      <c r="F22" s="303"/>
      <c r="G22" s="303">
        <v>128</v>
      </c>
      <c r="H22" s="303">
        <v>277</v>
      </c>
      <c r="I22" s="303">
        <v>70</v>
      </c>
      <c r="J22" s="302">
        <f t="shared" si="1"/>
        <v>2695</v>
      </c>
      <c r="L22" s="305">
        <f t="shared" si="2"/>
        <v>0.8</v>
      </c>
      <c r="M22" s="305">
        <f t="shared" si="2"/>
        <v>0.023747680890538032</v>
      </c>
      <c r="N22" s="305">
        <f t="shared" si="0"/>
        <v>0</v>
      </c>
      <c r="O22" s="305">
        <f t="shared" si="0"/>
        <v>0.047495361781076065</v>
      </c>
      <c r="P22" s="305">
        <f t="shared" si="0"/>
        <v>0.10278293135435992</v>
      </c>
      <c r="Q22" s="305">
        <f t="shared" si="0"/>
        <v>0.025974025974025976</v>
      </c>
      <c r="T22" s="1" t="s">
        <v>95</v>
      </c>
      <c r="V22" s="4">
        <f>V14</f>
        <v>3070</v>
      </c>
      <c r="W22" s="4">
        <f aca="true" t="shared" si="9" ref="W22:AU22">W14</f>
        <v>3343.23</v>
      </c>
      <c r="X22" s="4">
        <f t="shared" si="9"/>
        <v>3640.77747</v>
      </c>
      <c r="Y22" s="4">
        <f t="shared" si="9"/>
        <v>3964.80666483</v>
      </c>
      <c r="Z22" s="4">
        <f t="shared" si="9"/>
        <v>4317.67445799987</v>
      </c>
      <c r="AA22" s="4">
        <f t="shared" si="9"/>
        <v>4701.9474847618585</v>
      </c>
      <c r="AB22" s="4">
        <f t="shared" si="9"/>
        <v>5120.4208109056635</v>
      </c>
      <c r="AC22" s="4">
        <f t="shared" si="9"/>
        <v>5376.441851450947</v>
      </c>
      <c r="AD22" s="4">
        <f t="shared" si="9"/>
        <v>5645.263944023494</v>
      </c>
      <c r="AE22" s="4">
        <f t="shared" si="9"/>
        <v>5927.527141224669</v>
      </c>
      <c r="AF22" s="4">
        <f t="shared" si="9"/>
        <v>6223.903498285903</v>
      </c>
      <c r="AG22" s="4">
        <f t="shared" si="9"/>
        <v>6535.098673200198</v>
      </c>
      <c r="AH22" s="4">
        <f t="shared" si="9"/>
        <v>6861.853606860209</v>
      </c>
      <c r="AI22" s="4">
        <f t="shared" si="9"/>
        <v>7204.94628720322</v>
      </c>
      <c r="AJ22" s="4">
        <f t="shared" si="9"/>
        <v>7565.193601563381</v>
      </c>
      <c r="AK22" s="4">
        <f t="shared" si="9"/>
        <v>7943.45328164155</v>
      </c>
      <c r="AL22" s="4">
        <f t="shared" si="9"/>
        <v>8340.625945723628</v>
      </c>
      <c r="AM22" s="4">
        <f t="shared" si="9"/>
        <v>8757.65724300981</v>
      </c>
      <c r="AN22" s="4">
        <f t="shared" si="9"/>
        <v>9195.5401051603</v>
      </c>
      <c r="AO22" s="4">
        <f t="shared" si="9"/>
        <v>9655.317110418317</v>
      </c>
      <c r="AP22" s="4">
        <f t="shared" si="9"/>
        <v>10138.082965939233</v>
      </c>
      <c r="AQ22" s="4">
        <f t="shared" si="9"/>
        <v>10644.987114236195</v>
      </c>
      <c r="AR22" s="4">
        <f t="shared" si="9"/>
        <v>11177.236469948006</v>
      </c>
      <c r="AS22" s="4">
        <f t="shared" si="9"/>
        <v>11736.098293445406</v>
      </c>
      <c r="AT22" s="4">
        <f t="shared" si="9"/>
        <v>12322.903208117677</v>
      </c>
      <c r="AU22" s="4">
        <f t="shared" si="9"/>
        <v>12939.048368523561</v>
      </c>
    </row>
    <row r="23" spans="3:47" ht="15">
      <c r="C23">
        <v>2010</v>
      </c>
      <c r="D23" s="303">
        <v>2677</v>
      </c>
      <c r="E23" s="303">
        <v>40</v>
      </c>
      <c r="F23" s="303">
        <v>0</v>
      </c>
      <c r="G23" s="303">
        <v>96</v>
      </c>
      <c r="H23" s="303">
        <v>211</v>
      </c>
      <c r="I23" s="303">
        <v>47</v>
      </c>
      <c r="J23" s="302">
        <f t="shared" si="1"/>
        <v>3071</v>
      </c>
      <c r="L23" s="305">
        <f t="shared" si="2"/>
        <v>0.8717030283295344</v>
      </c>
      <c r="M23" s="305">
        <f t="shared" si="2"/>
        <v>0.013025073266037121</v>
      </c>
      <c r="N23" s="305">
        <f t="shared" si="0"/>
        <v>0</v>
      </c>
      <c r="O23" s="305">
        <f t="shared" si="0"/>
        <v>0.03126017583848909</v>
      </c>
      <c r="P23" s="305">
        <f t="shared" si="0"/>
        <v>0.06870726147834581</v>
      </c>
      <c r="Q23" s="305">
        <f t="shared" si="0"/>
        <v>0.015304461087593618</v>
      </c>
      <c r="T23" s="1" t="s">
        <v>96</v>
      </c>
      <c r="W23" s="4">
        <f>W22-V22</f>
        <v>273.23</v>
      </c>
      <c r="X23" s="4">
        <f>X22-W22</f>
        <v>297.54747</v>
      </c>
      <c r="Y23" s="4">
        <f>Y22-X22</f>
        <v>324.02919483000005</v>
      </c>
      <c r="Z23" s="4">
        <f>Z22-Y22</f>
        <v>352.8677931698703</v>
      </c>
      <c r="AA23" s="4">
        <f>AA22-Z22</f>
        <v>384.27302676198815</v>
      </c>
      <c r="AB23" s="4">
        <f>AB22-AA22</f>
        <v>418.473326143805</v>
      </c>
      <c r="AC23" s="4">
        <f>AC22-AB22</f>
        <v>256.02104054528354</v>
      </c>
      <c r="AD23" s="4">
        <f>AD22-AC22</f>
        <v>268.82209257254726</v>
      </c>
      <c r="AE23" s="4">
        <f>AE22-AD22</f>
        <v>282.263197201175</v>
      </c>
      <c r="AF23" s="4">
        <f>AF22-AE22</f>
        <v>296.37635706123365</v>
      </c>
      <c r="AG23" s="4">
        <f>AG22-AF22</f>
        <v>311.1951749142954</v>
      </c>
      <c r="AH23" s="4">
        <f>AH22-AG22</f>
        <v>326.75493366001047</v>
      </c>
      <c r="AI23" s="4">
        <f>AI22-AH22</f>
        <v>343.0926803430111</v>
      </c>
      <c r="AJ23" s="4">
        <f>AJ22-AI22</f>
        <v>360.247314360161</v>
      </c>
      <c r="AK23" s="4">
        <f>AK22-AJ22</f>
        <v>378.25968007816937</v>
      </c>
      <c r="AL23" s="4">
        <f>AL22-AK22</f>
        <v>397.172664082078</v>
      </c>
      <c r="AM23" s="4">
        <f>AM22-AL22</f>
        <v>417.03129728618114</v>
      </c>
      <c r="AN23" s="4">
        <f>AN22-AM22</f>
        <v>437.88286215049084</v>
      </c>
      <c r="AO23" s="4">
        <f>AO22-AN22</f>
        <v>459.7770052580163</v>
      </c>
      <c r="AP23" s="4">
        <f>AP22-AO22</f>
        <v>482.7658555209164</v>
      </c>
      <c r="AQ23" s="4">
        <f>AQ22-AP22</f>
        <v>506.9041482969624</v>
      </c>
      <c r="AR23" s="4">
        <f>AR22-AQ22</f>
        <v>532.2493557118105</v>
      </c>
      <c r="AS23" s="4">
        <f>AS22-AR22</f>
        <v>558.8618234974001</v>
      </c>
      <c r="AT23" s="4">
        <f>AT22-AS22</f>
        <v>586.8049146722715</v>
      </c>
      <c r="AU23" s="4">
        <f>AU22-AT22</f>
        <v>616.1451604058839</v>
      </c>
    </row>
    <row r="24" spans="20:47" ht="15">
      <c r="T24" s="1" t="s">
        <v>97</v>
      </c>
      <c r="W24" s="4">
        <f>W23</f>
        <v>273.23</v>
      </c>
      <c r="X24" s="4">
        <f>X23</f>
        <v>297.54747</v>
      </c>
      <c r="Y24" s="4">
        <f>Y23</f>
        <v>324.02919483000005</v>
      </c>
      <c r="Z24" s="4">
        <f>Z23</f>
        <v>352.8677931698703</v>
      </c>
      <c r="AA24" s="4">
        <f>AA23</f>
        <v>384.27302676198815</v>
      </c>
      <c r="AB24" s="4">
        <f>AB23</f>
        <v>418.473326143805</v>
      </c>
      <c r="AC24" s="4">
        <f>AC23+AD23</f>
        <v>524.8431331178308</v>
      </c>
      <c r="AD24" s="4">
        <f>AE23</f>
        <v>282.263197201175</v>
      </c>
      <c r="AE24" s="4">
        <f aca="true" t="shared" si="10" ref="AE24:AS24">AF23</f>
        <v>296.37635706123365</v>
      </c>
      <c r="AF24" s="4">
        <f t="shared" si="10"/>
        <v>311.1951749142954</v>
      </c>
      <c r="AG24" s="4">
        <f t="shared" si="10"/>
        <v>326.75493366001047</v>
      </c>
      <c r="AH24" s="4">
        <f t="shared" si="10"/>
        <v>343.0926803430111</v>
      </c>
      <c r="AI24" s="4">
        <f t="shared" si="10"/>
        <v>360.247314360161</v>
      </c>
      <c r="AJ24" s="4">
        <f t="shared" si="10"/>
        <v>378.25968007816937</v>
      </c>
      <c r="AK24" s="4">
        <f t="shared" si="10"/>
        <v>397.172664082078</v>
      </c>
      <c r="AL24" s="4">
        <f t="shared" si="10"/>
        <v>417.03129728618114</v>
      </c>
      <c r="AM24" s="4">
        <f t="shared" si="10"/>
        <v>437.88286215049084</v>
      </c>
      <c r="AN24" s="4">
        <f t="shared" si="10"/>
        <v>459.7770052580163</v>
      </c>
      <c r="AO24" s="4">
        <f t="shared" si="10"/>
        <v>482.7658555209164</v>
      </c>
      <c r="AP24" s="4">
        <f t="shared" si="10"/>
        <v>506.9041482969624</v>
      </c>
      <c r="AQ24" s="4">
        <f t="shared" si="10"/>
        <v>532.2493557118105</v>
      </c>
      <c r="AR24" s="4">
        <f t="shared" si="10"/>
        <v>558.8618234974001</v>
      </c>
      <c r="AS24" s="4">
        <f t="shared" si="10"/>
        <v>586.8049146722715</v>
      </c>
      <c r="AT24" s="4"/>
      <c r="AU24" s="4"/>
    </row>
    <row r="25" spans="3:45" ht="15">
      <c r="C25" t="s">
        <v>14</v>
      </c>
      <c r="D25">
        <f>MIN(D13:D23)</f>
        <v>76</v>
      </c>
      <c r="E25">
        <f>MIN(E13:E23)</f>
        <v>15</v>
      </c>
      <c r="F25">
        <f>MIN(F13:F23)</f>
        <v>0</v>
      </c>
      <c r="G25">
        <f>MIN(G13:G23)</f>
        <v>26</v>
      </c>
      <c r="H25">
        <f>MIN(H13:H23)</f>
        <v>87</v>
      </c>
      <c r="I25">
        <f>MIN(I13:I23)</f>
        <v>24</v>
      </c>
      <c r="L25" t="s">
        <v>16</v>
      </c>
      <c r="T25" s="1" t="s">
        <v>98</v>
      </c>
      <c r="W25" s="4">
        <f>V22+W24</f>
        <v>3343.23</v>
      </c>
      <c r="X25" s="4">
        <f>W25+X24</f>
        <v>3640.77747</v>
      </c>
      <c r="Y25" s="4">
        <f aca="true" t="shared" si="11" ref="Y25:AS25">X25+Y24</f>
        <v>3964.80666483</v>
      </c>
      <c r="Z25" s="4">
        <f t="shared" si="11"/>
        <v>4317.67445799987</v>
      </c>
      <c r="AA25" s="4">
        <f t="shared" si="11"/>
        <v>4701.9474847618585</v>
      </c>
      <c r="AB25" s="4">
        <f t="shared" si="11"/>
        <v>5120.4208109056635</v>
      </c>
      <c r="AC25" s="4">
        <f t="shared" si="11"/>
        <v>5645.263944023494</v>
      </c>
      <c r="AD25" s="4">
        <f t="shared" si="11"/>
        <v>5927.527141224669</v>
      </c>
      <c r="AE25" s="4">
        <f t="shared" si="11"/>
        <v>6223.903498285903</v>
      </c>
      <c r="AF25" s="4">
        <f t="shared" si="11"/>
        <v>6535.098673200198</v>
      </c>
      <c r="AG25" s="4">
        <f t="shared" si="11"/>
        <v>6861.853606860209</v>
      </c>
      <c r="AH25" s="4">
        <f t="shared" si="11"/>
        <v>7204.94628720322</v>
      </c>
      <c r="AI25" s="4">
        <f t="shared" si="11"/>
        <v>7565.193601563381</v>
      </c>
      <c r="AJ25" s="4">
        <f t="shared" si="11"/>
        <v>7943.45328164155</v>
      </c>
      <c r="AK25" s="4">
        <f t="shared" si="11"/>
        <v>8340.625945723628</v>
      </c>
      <c r="AL25" s="4">
        <f t="shared" si="11"/>
        <v>8757.65724300981</v>
      </c>
      <c r="AM25" s="4">
        <f t="shared" si="11"/>
        <v>9195.5401051603</v>
      </c>
      <c r="AN25" s="4">
        <f t="shared" si="11"/>
        <v>9655.317110418317</v>
      </c>
      <c r="AO25" s="4">
        <f t="shared" si="11"/>
        <v>10138.082965939233</v>
      </c>
      <c r="AP25" s="4">
        <f t="shared" si="11"/>
        <v>10644.987114236195</v>
      </c>
      <c r="AQ25" s="4">
        <f t="shared" si="11"/>
        <v>11177.236469948006</v>
      </c>
      <c r="AR25" s="4">
        <f t="shared" si="11"/>
        <v>11736.098293445406</v>
      </c>
      <c r="AS25" s="4">
        <f t="shared" si="11"/>
        <v>12322.903208117677</v>
      </c>
    </row>
    <row r="26" spans="3:45" ht="15">
      <c r="C26" t="s">
        <v>15</v>
      </c>
      <c r="D26">
        <f>MAX(D13:D23)</f>
        <v>2677</v>
      </c>
      <c r="E26">
        <f>MAX(E13:E23)</f>
        <v>64</v>
      </c>
      <c r="F26">
        <f>MAX(F13:F23)</f>
        <v>36</v>
      </c>
      <c r="G26">
        <f>MAX(G13:G23)</f>
        <v>128</v>
      </c>
      <c r="H26">
        <f>MAX(H13:H23)</f>
        <v>277</v>
      </c>
      <c r="I26">
        <f>MAX(I13:I23)</f>
        <v>81</v>
      </c>
      <c r="L26" s="2">
        <v>0.9</v>
      </c>
      <c r="M26" s="2">
        <v>0.02</v>
      </c>
      <c r="N26" s="2">
        <v>0.02</v>
      </c>
      <c r="O26" s="2">
        <v>0.04</v>
      </c>
      <c r="P26" s="2">
        <v>0</v>
      </c>
      <c r="Q26" s="2">
        <v>0.02</v>
      </c>
      <c r="T26" s="1" t="s">
        <v>99</v>
      </c>
      <c r="X26" s="3">
        <f>(X25-W25)/W25</f>
        <v>0.089</v>
      </c>
      <c r="Y26" s="3">
        <f>(Y25-X25)/X25</f>
        <v>0.08900000000000001</v>
      </c>
      <c r="Z26" s="3">
        <f>(Z25-Y25)/Y25</f>
        <v>0.08900000000000008</v>
      </c>
      <c r="AA26" s="3">
        <f>(AA25-Z25)/Z25</f>
        <v>0.08899999999999993</v>
      </c>
      <c r="AB26" s="3">
        <f>(AB25-AA25)/AA25</f>
        <v>0.08899999999999991</v>
      </c>
      <c r="AC26" s="3">
        <f>(AC25-AB25)/AB25</f>
        <v>0.10250000000000006</v>
      </c>
      <c r="AD26" s="3">
        <f>(AD25-AC25)/AC25</f>
        <v>0.05000000000000005</v>
      </c>
      <c r="AE26" s="3">
        <f>(AE25-AD25)/AD25</f>
        <v>0.05000000000000003</v>
      </c>
      <c r="AF26" s="3">
        <f>(AF25-AE25)/AE25</f>
        <v>0.050000000000000044</v>
      </c>
      <c r="AG26" s="3">
        <f>(AG25-AF25)/AF25</f>
        <v>0.050000000000000086</v>
      </c>
      <c r="AH26" s="3">
        <f>(AH25-AG25)/AG25</f>
        <v>0.0500000000000001</v>
      </c>
      <c r="AI26" s="3">
        <f>(AI25-AH25)/AH25</f>
        <v>0.05</v>
      </c>
      <c r="AJ26" s="3">
        <f>(AJ25-AI25)/AI25</f>
        <v>0.050000000000000044</v>
      </c>
      <c r="AK26" s="3">
        <f>(AK25-AJ25)/AJ25</f>
        <v>0.05000000000000006</v>
      </c>
      <c r="AL26" s="3">
        <f>(AL25-AK25)/AK25</f>
        <v>0.04999999999999997</v>
      </c>
      <c r="AM26" s="3">
        <f>(AM25-AL25)/AL25</f>
        <v>0.050000000000000044</v>
      </c>
      <c r="AN26" s="3">
        <f>(AN25-AM25)/AM25</f>
        <v>0.05000000000000014</v>
      </c>
      <c r="AO26" s="3">
        <f>(AO25-AN25)/AN25</f>
        <v>0.05000000000000006</v>
      </c>
      <c r="AP26" s="3">
        <f>(AP25-AO25)/AO25</f>
        <v>0.05000000000000007</v>
      </c>
      <c r="AQ26" s="3">
        <f>(AQ25-AP25)/AP25</f>
        <v>0.050000000000000065</v>
      </c>
      <c r="AR26" s="3">
        <f>(AR25-AQ25)/AQ25</f>
        <v>0.04999999999999998</v>
      </c>
      <c r="AS26" s="3">
        <f>(AS25-AR25)/AR25</f>
        <v>0.0500000000000001</v>
      </c>
    </row>
    <row r="28" spans="3:5" ht="15">
      <c r="C28" t="s">
        <v>17</v>
      </c>
      <c r="D28" s="3">
        <f>(D26/D13)^(1/10)-1</f>
        <v>0.24633751054211284</v>
      </c>
      <c r="E28" s="3">
        <f>(D23/D18)^(1/5)-1</f>
        <v>0.17134799065097828</v>
      </c>
    </row>
    <row r="29" spans="4:5" ht="15">
      <c r="D29" s="3"/>
      <c r="E29" s="3"/>
    </row>
    <row r="30" spans="4:5" ht="15">
      <c r="D30" s="3"/>
      <c r="E30" s="3"/>
    </row>
    <row r="31" spans="4:8" ht="15">
      <c r="D31" s="1"/>
      <c r="E31" s="1"/>
      <c r="F31" s="1"/>
      <c r="G31" s="1"/>
      <c r="H31" s="1"/>
    </row>
    <row r="33" spans="2:7" ht="15">
      <c r="B33" s="4"/>
      <c r="C33" s="4"/>
      <c r="D33" s="4"/>
      <c r="E33" s="4"/>
      <c r="F33" s="4"/>
      <c r="G33" s="4"/>
    </row>
    <row r="34" spans="2:7" ht="15">
      <c r="B34" s="4"/>
      <c r="C34" s="4"/>
      <c r="D34" s="4"/>
      <c r="E34" s="4"/>
      <c r="F34" s="4"/>
      <c r="G34" s="4"/>
    </row>
    <row r="35" spans="2:8" ht="15">
      <c r="B35" s="4"/>
      <c r="C35" s="4"/>
      <c r="D35" s="4"/>
      <c r="E35" s="4"/>
      <c r="F35" s="4"/>
      <c r="G35" s="4"/>
      <c r="H35" s="3"/>
    </row>
    <row r="36" spans="2:8" ht="15">
      <c r="B36" s="4"/>
      <c r="C36" s="4"/>
      <c r="D36" s="4"/>
      <c r="E36" s="4"/>
      <c r="F36" s="4"/>
      <c r="G36" s="4"/>
      <c r="H36" s="3"/>
    </row>
    <row r="37" spans="2:8" ht="15">
      <c r="B37" s="4"/>
      <c r="C37" s="4"/>
      <c r="D37" s="4"/>
      <c r="E37" s="4"/>
      <c r="F37" s="4"/>
      <c r="G37" s="4"/>
      <c r="H37" s="3"/>
    </row>
    <row r="38" spans="2:8" ht="15">
      <c r="B38" s="4"/>
      <c r="C38" s="4"/>
      <c r="D38" s="4"/>
      <c r="E38" s="4"/>
      <c r="F38" s="4"/>
      <c r="G38" s="4"/>
      <c r="H38" s="3"/>
    </row>
    <row r="39" spans="2:8" ht="15">
      <c r="B39" s="4"/>
      <c r="C39" s="4"/>
      <c r="D39" s="4"/>
      <c r="E39" s="4"/>
      <c r="F39" s="4"/>
      <c r="G39" s="4"/>
      <c r="H39" s="3"/>
    </row>
    <row r="40" spans="2:8" ht="15">
      <c r="B40" s="4"/>
      <c r="C40" s="4"/>
      <c r="D40" s="4"/>
      <c r="E40" s="4"/>
      <c r="F40" s="4"/>
      <c r="G40" s="4"/>
      <c r="H40" s="3"/>
    </row>
    <row r="41" spans="2:8" ht="15">
      <c r="B41" s="4"/>
      <c r="C41" s="4"/>
      <c r="D41" s="4"/>
      <c r="E41" s="4"/>
      <c r="F41" s="4"/>
      <c r="G41" s="4"/>
      <c r="H41" s="3"/>
    </row>
    <row r="42" spans="2:8" ht="15">
      <c r="B42" s="4"/>
      <c r="C42" s="4"/>
      <c r="D42" s="4"/>
      <c r="E42" s="4"/>
      <c r="F42" s="4"/>
      <c r="G42" s="4"/>
      <c r="H42" s="3"/>
    </row>
    <row r="43" spans="2:8" ht="15">
      <c r="B43" s="4"/>
      <c r="C43" s="4"/>
      <c r="D43" s="4"/>
      <c r="E43" s="4"/>
      <c r="F43" s="4"/>
      <c r="G43" s="4"/>
      <c r="H43" s="3"/>
    </row>
    <row r="44" spans="2:8" ht="15">
      <c r="B44" s="4"/>
      <c r="C44" s="4"/>
      <c r="D44" s="4"/>
      <c r="E44" s="4"/>
      <c r="F44" s="4"/>
      <c r="G44" s="4"/>
      <c r="H44" s="3"/>
    </row>
    <row r="45" spans="2:8" ht="15">
      <c r="B45" s="4"/>
      <c r="C45" s="4"/>
      <c r="D45" s="4"/>
      <c r="E45" s="4"/>
      <c r="F45" s="4"/>
      <c r="G45" s="4"/>
      <c r="H45" s="3"/>
    </row>
    <row r="46" spans="2:8" ht="15">
      <c r="B46" s="4"/>
      <c r="C46" s="4"/>
      <c r="D46" s="4"/>
      <c r="E46" s="4"/>
      <c r="F46" s="4"/>
      <c r="G46" s="4"/>
      <c r="H46" s="3"/>
    </row>
    <row r="47" spans="2:8" ht="15">
      <c r="B47" s="4"/>
      <c r="C47" s="4"/>
      <c r="D47" s="4"/>
      <c r="E47" s="4"/>
      <c r="F47" s="4"/>
      <c r="G47" s="4"/>
      <c r="H47" s="3"/>
    </row>
    <row r="48" spans="2:8" ht="15">
      <c r="B48" s="4"/>
      <c r="C48" s="4"/>
      <c r="D48" s="4"/>
      <c r="E48" s="4"/>
      <c r="F48" s="4"/>
      <c r="G48" s="4"/>
      <c r="H48" s="3"/>
    </row>
    <row r="49" spans="2:8" ht="15">
      <c r="B49" s="4"/>
      <c r="C49" s="4"/>
      <c r="D49" s="4"/>
      <c r="E49" s="4"/>
      <c r="F49" s="4"/>
      <c r="G49" s="4"/>
      <c r="H49" s="3"/>
    </row>
    <row r="50" spans="2:8" ht="15">
      <c r="B50" s="4"/>
      <c r="C50" s="4"/>
      <c r="D50" s="4"/>
      <c r="E50" s="4"/>
      <c r="F50" s="4"/>
      <c r="G50" s="4"/>
      <c r="H50" s="3"/>
    </row>
    <row r="51" spans="2:8" ht="15">
      <c r="B51" s="4"/>
      <c r="C51" s="4"/>
      <c r="D51" s="4"/>
      <c r="E51" s="4"/>
      <c r="F51" s="4"/>
      <c r="G51" s="4"/>
      <c r="H51" s="3"/>
    </row>
    <row r="52" spans="2:8" ht="15">
      <c r="B52" s="4"/>
      <c r="C52" s="4"/>
      <c r="D52" s="4"/>
      <c r="E52" s="4"/>
      <c r="F52" s="4"/>
      <c r="G52" s="4"/>
      <c r="H52" s="3"/>
    </row>
    <row r="53" spans="2:8" ht="15">
      <c r="B53" s="4"/>
      <c r="C53" s="4"/>
      <c r="D53" s="4"/>
      <c r="E53" s="4"/>
      <c r="F53" s="4"/>
      <c r="G53" s="4"/>
      <c r="H53" s="3"/>
    </row>
    <row r="54" spans="2:8" ht="15">
      <c r="B54" s="4"/>
      <c r="C54" s="4"/>
      <c r="D54" s="4"/>
      <c r="E54" s="4"/>
      <c r="F54" s="4"/>
      <c r="G54" s="4"/>
      <c r="H54" s="3"/>
    </row>
    <row r="55" spans="2:7" ht="15">
      <c r="B55" s="4"/>
      <c r="C55" s="4"/>
      <c r="D55" s="4"/>
      <c r="E55" s="4"/>
      <c r="F55" s="4"/>
      <c r="G55" s="4"/>
    </row>
    <row r="56" spans="2:7" ht="15">
      <c r="B56" s="4"/>
      <c r="C56" s="4"/>
      <c r="D56" s="4"/>
      <c r="E56" s="4"/>
      <c r="F56" s="4"/>
      <c r="G56" s="4"/>
    </row>
    <row r="57" spans="2:7" ht="15">
      <c r="B57" s="4"/>
      <c r="C57" s="4"/>
      <c r="D57" s="4"/>
      <c r="E57" s="4"/>
      <c r="F57" s="4"/>
      <c r="G57"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80" ht="15">
      <c r="D80" s="3"/>
    </row>
  </sheetData>
  <sheetProtection/>
  <mergeCells count="1">
    <mergeCell ref="B1:J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G31"/>
  <sheetViews>
    <sheetView zoomScalePageLayoutView="0" workbookViewId="0" topLeftCell="A1">
      <selection activeCell="A1" sqref="A1"/>
    </sheetView>
  </sheetViews>
  <sheetFormatPr defaultColWidth="9.140625" defaultRowHeight="15"/>
  <cols>
    <col min="1" max="7" width="36.7109375" style="0" customWidth="1"/>
  </cols>
  <sheetData>
    <row r="1" ht="15">
      <c r="A1" s="12" t="s">
        <v>107</v>
      </c>
    </row>
    <row r="3" spans="1:3" ht="15">
      <c r="A3" t="s">
        <v>108</v>
      </c>
      <c r="B3" t="s">
        <v>109</v>
      </c>
      <c r="C3">
        <v>0</v>
      </c>
    </row>
    <row r="4" ht="15">
      <c r="A4" t="s">
        <v>110</v>
      </c>
    </row>
    <row r="5" ht="15">
      <c r="A5" t="s">
        <v>111</v>
      </c>
    </row>
    <row r="7" spans="1:2" ht="15">
      <c r="A7" s="12" t="s">
        <v>112</v>
      </c>
      <c r="B7" t="s">
        <v>113</v>
      </c>
    </row>
    <row r="8" ht="15">
      <c r="B8">
        <v>7</v>
      </c>
    </row>
    <row r="10" ht="15">
      <c r="A10" t="s">
        <v>114</v>
      </c>
    </row>
    <row r="11" spans="1:7" ht="15">
      <c r="A11" t="e">
        <f>CB_DATA_!#REF!</f>
        <v>#REF!</v>
      </c>
      <c r="B11" t="e">
        <f>Parameters!#REF!</f>
        <v>#REF!</v>
      </c>
      <c r="C11" t="e">
        <f>AnalysisSal!#REF!</f>
        <v>#REF!</v>
      </c>
      <c r="D11" t="e">
        <f>AnalysisBV!#REF!</f>
        <v>#REF!</v>
      </c>
      <c r="E11" t="e">
        <f>AnalysisSVic!#REF!</f>
        <v>#REF!</v>
      </c>
      <c r="F11" t="e">
        <f>BA_Data!#REF!</f>
        <v>#REF!</v>
      </c>
      <c r="G11" t="e">
        <f>'Aggregate Cost-Benefit Summary'!#REF!</f>
        <v>#REF!</v>
      </c>
    </row>
    <row r="13" ht="15">
      <c r="A13" t="s">
        <v>115</v>
      </c>
    </row>
    <row r="14" spans="1:7" ht="15">
      <c r="A14" t="s">
        <v>119</v>
      </c>
      <c r="B14" t="s">
        <v>122</v>
      </c>
      <c r="C14" t="s">
        <v>123</v>
      </c>
      <c r="D14" t="s">
        <v>124</v>
      </c>
      <c r="E14" s="17" t="s">
        <v>124</v>
      </c>
      <c r="F14" t="s">
        <v>241</v>
      </c>
      <c r="G14" t="s">
        <v>242</v>
      </c>
    </row>
    <row r="16" ht="15">
      <c r="A16" t="s">
        <v>116</v>
      </c>
    </row>
    <row r="19" ht="15">
      <c r="A19" t="s">
        <v>117</v>
      </c>
    </row>
    <row r="20" spans="1:7" ht="15">
      <c r="A20">
        <v>31</v>
      </c>
      <c r="B20">
        <v>31</v>
      </c>
      <c r="C20">
        <v>26</v>
      </c>
      <c r="D20">
        <v>26</v>
      </c>
      <c r="E20">
        <v>26</v>
      </c>
      <c r="F20">
        <v>31</v>
      </c>
      <c r="G20">
        <v>31</v>
      </c>
    </row>
    <row r="25" ht="15">
      <c r="A25" s="12" t="s">
        <v>118</v>
      </c>
    </row>
    <row r="26" spans="1:7" ht="15">
      <c r="A26" s="17" t="s">
        <v>120</v>
      </c>
      <c r="B26" s="17" t="s">
        <v>238</v>
      </c>
      <c r="F26" s="17" t="s">
        <v>238</v>
      </c>
      <c r="G26" s="17" t="s">
        <v>238</v>
      </c>
    </row>
    <row r="27" spans="1:7" ht="15">
      <c r="A27" t="s">
        <v>428</v>
      </c>
      <c r="B27" t="s">
        <v>442</v>
      </c>
      <c r="F27" t="s">
        <v>443</v>
      </c>
      <c r="G27" t="s">
        <v>441</v>
      </c>
    </row>
    <row r="28" spans="1:7" ht="15">
      <c r="A28" s="17" t="s">
        <v>121</v>
      </c>
      <c r="B28" s="17" t="s">
        <v>121</v>
      </c>
      <c r="F28" s="17" t="s">
        <v>121</v>
      </c>
      <c r="G28" s="17" t="s">
        <v>121</v>
      </c>
    </row>
    <row r="29" spans="1:7" ht="15">
      <c r="A29" s="17" t="s">
        <v>238</v>
      </c>
      <c r="B29" s="17" t="s">
        <v>120</v>
      </c>
      <c r="F29" s="17" t="s">
        <v>120</v>
      </c>
      <c r="G29" s="17" t="s">
        <v>120</v>
      </c>
    </row>
    <row r="30" spans="1:7" ht="15">
      <c r="A30" t="s">
        <v>440</v>
      </c>
      <c r="B30" t="s">
        <v>430</v>
      </c>
      <c r="F30" t="s">
        <v>431</v>
      </c>
      <c r="G30" t="s">
        <v>429</v>
      </c>
    </row>
    <row r="31" spans="1:7" ht="15">
      <c r="A31" s="17" t="s">
        <v>121</v>
      </c>
      <c r="B31" s="17" t="s">
        <v>121</v>
      </c>
      <c r="F31" s="17" t="s">
        <v>121</v>
      </c>
      <c r="G31" s="17" t="s">
        <v>121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B1:N57"/>
  <sheetViews>
    <sheetView zoomScalePageLayoutView="0" workbookViewId="0" topLeftCell="A1">
      <selection activeCell="B2" sqref="B2"/>
    </sheetView>
  </sheetViews>
  <sheetFormatPr defaultColWidth="9.140625" defaultRowHeight="15"/>
  <cols>
    <col min="1" max="1" width="7.7109375" style="0" customWidth="1"/>
    <col min="2" max="2" width="55.421875" style="0" customWidth="1"/>
    <col min="3" max="3" width="11.7109375" style="0" customWidth="1"/>
    <col min="5" max="5" width="10.8515625" style="0" customWidth="1"/>
  </cols>
  <sheetData>
    <row r="1" spans="2:1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296"/>
      <c r="J1" s="296"/>
      <c r="K1" s="242" t="str">
        <f>'User''s Guide'!C1</f>
        <v>Last  Updated : 'September 2011</v>
      </c>
    </row>
    <row r="2" spans="2:10" s="133" customFormat="1" ht="20.25">
      <c r="B2" s="131" t="s">
        <v>432</v>
      </c>
      <c r="D2" s="130"/>
      <c r="E2" s="130"/>
      <c r="F2" s="130"/>
      <c r="G2" s="130"/>
      <c r="H2" s="130"/>
      <c r="I2" s="130"/>
      <c r="J2" s="132"/>
    </row>
    <row r="5" ht="15">
      <c r="B5" t="s">
        <v>280</v>
      </c>
    </row>
    <row r="6" spans="2:6" ht="15">
      <c r="B6" t="s">
        <v>23</v>
      </c>
      <c r="F6" t="s">
        <v>424</v>
      </c>
    </row>
    <row r="7" ht="15">
      <c r="F7" t="s">
        <v>425</v>
      </c>
    </row>
    <row r="8" spans="2:4" ht="15">
      <c r="B8" t="s">
        <v>129</v>
      </c>
      <c r="C8">
        <v>0.089</v>
      </c>
      <c r="D8" t="s">
        <v>25</v>
      </c>
    </row>
    <row r="9" spans="2:3" ht="15">
      <c r="B9" t="s">
        <v>128</v>
      </c>
      <c r="C9">
        <f>SalTourHotelGrowth</f>
        <v>0.089</v>
      </c>
    </row>
    <row r="10" spans="2:3" ht="15">
      <c r="B10" t="s">
        <v>127</v>
      </c>
      <c r="C10">
        <v>0.05</v>
      </c>
    </row>
    <row r="11" spans="2:3" ht="15">
      <c r="B11" t="s">
        <v>126</v>
      </c>
      <c r="C11">
        <v>0.068</v>
      </c>
    </row>
    <row r="12" spans="2:5" ht="30">
      <c r="B12" t="s">
        <v>57</v>
      </c>
      <c r="C12" t="s">
        <v>59</v>
      </c>
      <c r="D12" t="s">
        <v>71</v>
      </c>
      <c r="E12" s="1" t="s">
        <v>60</v>
      </c>
    </row>
    <row r="13" spans="2:10" ht="15">
      <c r="B13" t="s">
        <v>56</v>
      </c>
      <c r="C13">
        <v>185</v>
      </c>
      <c r="D13" s="116">
        <f>70%*J14</f>
        <v>0.7</v>
      </c>
      <c r="E13" s="4">
        <f>C13*D13</f>
        <v>129.5</v>
      </c>
      <c r="F13" s="3">
        <f aca="true" t="shared" si="0" ref="F13:F18">E13/E$18</f>
        <v>0.4606806559399512</v>
      </c>
      <c r="J13" s="13" t="s">
        <v>385</v>
      </c>
    </row>
    <row r="14" spans="2:10" ht="15">
      <c r="B14" t="s">
        <v>58</v>
      </c>
      <c r="C14">
        <v>150</v>
      </c>
      <c r="D14" s="116">
        <f>25%*J14</f>
        <v>0.25</v>
      </c>
      <c r="E14" s="4">
        <f>C14*D14</f>
        <v>37.5</v>
      </c>
      <c r="F14" s="3">
        <f t="shared" si="0"/>
        <v>0.13340173434554572</v>
      </c>
      <c r="H14" s="13"/>
      <c r="J14" s="276">
        <f>'ERR &amp; Sensitivity Analysis'!D18</f>
        <v>1</v>
      </c>
    </row>
    <row r="15" spans="2:6" ht="15">
      <c r="B15" t="s">
        <v>61</v>
      </c>
      <c r="C15">
        <v>20</v>
      </c>
      <c r="D15" s="116">
        <f>25%*J14</f>
        <v>0.25</v>
      </c>
      <c r="E15">
        <f>C15*D15</f>
        <v>5</v>
      </c>
      <c r="F15" s="3">
        <f t="shared" si="0"/>
        <v>0.01778689791273943</v>
      </c>
    </row>
    <row r="16" spans="2:14" ht="15" customHeight="1">
      <c r="B16" t="s">
        <v>62</v>
      </c>
      <c r="C16">
        <v>330</v>
      </c>
      <c r="D16" s="116">
        <f>12%*J14</f>
        <v>0.12</v>
      </c>
      <c r="E16" s="4">
        <f>8*77/C21*7</f>
        <v>39.105790595383844</v>
      </c>
      <c r="F16" s="3">
        <f t="shared" si="0"/>
        <v>0.13911414102341163</v>
      </c>
      <c r="G16" s="384" t="s">
        <v>375</v>
      </c>
      <c r="H16" s="384"/>
      <c r="I16" s="384"/>
      <c r="J16" s="384"/>
      <c r="K16" s="384"/>
      <c r="L16" s="384"/>
      <c r="M16" s="384"/>
      <c r="N16" s="384"/>
    </row>
    <row r="17" spans="2:13" ht="15">
      <c r="B17" t="s">
        <v>63</v>
      </c>
      <c r="C17" s="8">
        <v>280</v>
      </c>
      <c r="D17" s="117">
        <f>25%*J14</f>
        <v>0.25</v>
      </c>
      <c r="E17" s="8">
        <f>C17*D17</f>
        <v>70</v>
      </c>
      <c r="F17" s="18">
        <f t="shared" si="0"/>
        <v>0.24901657077835201</v>
      </c>
      <c r="H17" s="269"/>
      <c r="I17" s="269"/>
      <c r="J17" s="269"/>
      <c r="K17" s="269"/>
      <c r="L17" s="269"/>
      <c r="M17" s="269"/>
    </row>
    <row r="18" spans="2:6" ht="15">
      <c r="B18" s="13" t="s">
        <v>72</v>
      </c>
      <c r="C18" s="4">
        <f>SUM(C13:C17)</f>
        <v>965</v>
      </c>
      <c r="E18" s="4">
        <f>SUM(E13:E17)</f>
        <v>281.10579059538384</v>
      </c>
      <c r="F18" s="3">
        <f t="shared" si="0"/>
        <v>1</v>
      </c>
    </row>
    <row r="19" spans="2:5" ht="15">
      <c r="B19" s="13"/>
      <c r="C19" s="4"/>
      <c r="E19" s="4"/>
    </row>
    <row r="20" spans="2:4" ht="15">
      <c r="B20" t="s">
        <v>22</v>
      </c>
      <c r="C20" s="6">
        <f>(E18/7*1.05)</f>
        <v>42.16586858930758</v>
      </c>
      <c r="D20" s="270" t="s">
        <v>376</v>
      </c>
    </row>
    <row r="21" spans="2:6" ht="15">
      <c r="B21" t="s">
        <v>24</v>
      </c>
      <c r="C21">
        <v>110.265</v>
      </c>
      <c r="D21" s="10">
        <v>110.265</v>
      </c>
      <c r="F21" s="4"/>
    </row>
    <row r="22" spans="2:5" ht="15">
      <c r="B22" t="s">
        <v>21</v>
      </c>
      <c r="C22" s="4">
        <f>C20*C21</f>
        <v>4649.4195</v>
      </c>
      <c r="E22" s="4"/>
    </row>
    <row r="23" spans="2:3" ht="15">
      <c r="B23" t="s">
        <v>34</v>
      </c>
      <c r="C23" s="4">
        <v>77</v>
      </c>
    </row>
    <row r="24" spans="2:5" ht="15">
      <c r="B24" t="s">
        <v>55</v>
      </c>
      <c r="C24" s="4">
        <f>SalTourVA/exrate</f>
        <v>60.38207142857143</v>
      </c>
      <c r="E24" s="4"/>
    </row>
    <row r="25" spans="2:4" ht="15">
      <c r="B25" t="s">
        <v>86</v>
      </c>
      <c r="C25" s="16">
        <v>0.6</v>
      </c>
      <c r="D25" s="2">
        <v>0.5</v>
      </c>
    </row>
    <row r="26" spans="2:4" ht="15">
      <c r="B26" t="s">
        <v>85</v>
      </c>
      <c r="C26" s="16">
        <v>0.7</v>
      </c>
      <c r="D26" s="2"/>
    </row>
    <row r="27" spans="2:4" ht="15">
      <c r="B27" t="s">
        <v>132</v>
      </c>
      <c r="C27" s="16">
        <v>0.4</v>
      </c>
      <c r="D27" s="2"/>
    </row>
    <row r="28" spans="2:6" ht="15">
      <c r="B28" t="s">
        <v>65</v>
      </c>
      <c r="C28" s="5">
        <v>0.045</v>
      </c>
      <c r="D28" s="268" t="s">
        <v>67</v>
      </c>
      <c r="F28" t="s">
        <v>66</v>
      </c>
    </row>
    <row r="29" spans="2:3" ht="15">
      <c r="B29" t="s">
        <v>239</v>
      </c>
      <c r="C29" s="275">
        <f>'ERR &amp; Sensitivity Analysis'!D17</f>
        <v>300</v>
      </c>
    </row>
    <row r="30" spans="2:6" ht="15">
      <c r="B30" t="s">
        <v>64</v>
      </c>
      <c r="C30">
        <f>C29*exrate</f>
        <v>23100</v>
      </c>
      <c r="F30" t="s">
        <v>73</v>
      </c>
    </row>
    <row r="31" spans="2:3" ht="15">
      <c r="B31" t="s">
        <v>41</v>
      </c>
      <c r="C31" s="7">
        <f>C30*10000</f>
        <v>231000000</v>
      </c>
    </row>
    <row r="32" spans="2:3" ht="15">
      <c r="B32" t="s">
        <v>49</v>
      </c>
      <c r="C32" s="274">
        <f>'ERR &amp; Sensitivity Analysis'!I16</f>
        <v>0.25</v>
      </c>
    </row>
    <row r="33" spans="2:3" ht="15">
      <c r="B33" t="s">
        <v>54</v>
      </c>
      <c r="C33" s="273">
        <f>'ERR &amp; Sensitivity Analysis'!I15</f>
        <v>0.33</v>
      </c>
    </row>
    <row r="35" spans="2:4" ht="15">
      <c r="B35" t="s">
        <v>104</v>
      </c>
      <c r="C35" s="272">
        <f>'ERR &amp; Sensitivity Analysis'!I14</f>
        <v>24</v>
      </c>
      <c r="D35" s="268" t="s">
        <v>106</v>
      </c>
    </row>
    <row r="37" spans="2:3" ht="15">
      <c r="B37" t="s">
        <v>87</v>
      </c>
      <c r="C37" s="20">
        <f>(C45/3+C46)</f>
        <v>5316666.666666666</v>
      </c>
    </row>
    <row r="38" spans="2:3" ht="15">
      <c r="B38" t="s">
        <v>88</v>
      </c>
      <c r="C38" s="7">
        <f>C37*exrate</f>
        <v>409383333.3333333</v>
      </c>
    </row>
    <row r="39" spans="2:3" ht="15">
      <c r="B39" t="s">
        <v>89</v>
      </c>
      <c r="C39" s="20">
        <f>(C45/3+C47)</f>
        <v>6066666.666666666</v>
      </c>
    </row>
    <row r="40" spans="2:3" ht="15">
      <c r="B40" t="s">
        <v>90</v>
      </c>
      <c r="C40" s="7">
        <f>C39*exrate</f>
        <v>467133333.3333333</v>
      </c>
    </row>
    <row r="41" spans="2:3" ht="15">
      <c r="B41" t="s">
        <v>218</v>
      </c>
      <c r="C41" s="20">
        <f>C45/3+C48</f>
        <v>7366666.666666666</v>
      </c>
    </row>
    <row r="42" spans="2:3" ht="15">
      <c r="B42" t="s">
        <v>217</v>
      </c>
      <c r="C42" s="7">
        <f>C41*exrate</f>
        <v>567233333.3333333</v>
      </c>
    </row>
    <row r="43" ht="15">
      <c r="C43" s="7"/>
    </row>
    <row r="44" spans="2:3" ht="15">
      <c r="B44" t="s">
        <v>212</v>
      </c>
      <c r="C44" s="7"/>
    </row>
    <row r="45" spans="2:10" ht="15">
      <c r="B45" t="s">
        <v>213</v>
      </c>
      <c r="C45" s="119">
        <f>10400000*J45</f>
        <v>10400000</v>
      </c>
      <c r="D45" s="20"/>
      <c r="I45" s="13" t="s">
        <v>378</v>
      </c>
      <c r="J45" s="271">
        <f>'ERR &amp; Sensitivity Analysis'!I13</f>
        <v>1</v>
      </c>
    </row>
    <row r="46" spans="2:4" ht="15">
      <c r="B46" t="s">
        <v>214</v>
      </c>
      <c r="C46" s="119">
        <f>1850000*J45</f>
        <v>1850000</v>
      </c>
      <c r="D46" s="20"/>
    </row>
    <row r="47" spans="2:4" ht="15">
      <c r="B47" t="s">
        <v>215</v>
      </c>
      <c r="C47" s="119">
        <f>2600000*J45</f>
        <v>2600000</v>
      </c>
      <c r="D47" s="20"/>
    </row>
    <row r="48" spans="2:4" ht="15">
      <c r="B48" t="s">
        <v>216</v>
      </c>
      <c r="C48" s="120">
        <f>3900000*J45</f>
        <v>3900000</v>
      </c>
      <c r="D48" s="20"/>
    </row>
    <row r="49" spans="2:4" ht="15">
      <c r="B49" t="s">
        <v>7</v>
      </c>
      <c r="C49" s="20">
        <f>SUM(C45:C48)</f>
        <v>18750000</v>
      </c>
      <c r="D49" s="20"/>
    </row>
    <row r="50" ht="15">
      <c r="C50" s="7"/>
    </row>
    <row r="51" spans="2:3" ht="15">
      <c r="B51" t="s">
        <v>206</v>
      </c>
      <c r="C51">
        <v>4.4</v>
      </c>
    </row>
    <row r="52" spans="2:3" ht="15">
      <c r="B52" t="s">
        <v>130</v>
      </c>
      <c r="C52">
        <v>27150</v>
      </c>
    </row>
    <row r="53" spans="2:4" ht="15">
      <c r="B53" t="s">
        <v>135</v>
      </c>
      <c r="C53" s="3">
        <f>F16*(0.33*0.75+0.64*1)</f>
        <v>0.12346380015827782</v>
      </c>
      <c r="D53" t="s">
        <v>145</v>
      </c>
    </row>
    <row r="54" spans="2:4" ht="15">
      <c r="B54" t="s">
        <v>142</v>
      </c>
      <c r="C54" s="3">
        <f>F15*0.75</f>
        <v>0.013340173434554571</v>
      </c>
      <c r="D54" t="s">
        <v>146</v>
      </c>
    </row>
    <row r="55" spans="2:4" ht="15">
      <c r="B55" t="s">
        <v>143</v>
      </c>
      <c r="C55" s="3">
        <f>F17*0.75</f>
        <v>0.186762428083764</v>
      </c>
      <c r="D55" t="s">
        <v>146</v>
      </c>
    </row>
    <row r="56" spans="2:4" ht="15">
      <c r="B56" t="s">
        <v>144</v>
      </c>
      <c r="C56" s="3">
        <f>0.75</f>
        <v>0.75</v>
      </c>
      <c r="D56" t="s">
        <v>146</v>
      </c>
    </row>
    <row r="57" spans="2:4" ht="15">
      <c r="B57" t="s">
        <v>177</v>
      </c>
      <c r="C57" s="103">
        <f>F14*0.75</f>
        <v>0.1000513007591593</v>
      </c>
      <c r="D57" t="s">
        <v>146</v>
      </c>
    </row>
  </sheetData>
  <sheetProtection/>
  <mergeCells count="2">
    <mergeCell ref="G16:N16"/>
    <mergeCell ref="B1:H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5"/>
  <dimension ref="B1:Y169"/>
  <sheetViews>
    <sheetView zoomScalePageLayoutView="0" workbookViewId="0" topLeftCell="A1">
      <selection activeCell="A1" sqref="A1"/>
    </sheetView>
  </sheetViews>
  <sheetFormatPr defaultColWidth="9.140625" defaultRowHeight="15"/>
  <cols>
    <col min="1" max="1" width="7.7109375" style="0" customWidth="1"/>
    <col min="2" max="2" width="62.8515625" style="0" bestFit="1" customWidth="1"/>
    <col min="3" max="3" width="10.8515625" style="0" customWidth="1"/>
    <col min="4" max="4" width="9.28125" style="0" customWidth="1"/>
    <col min="10" max="10" width="9.57421875" style="0" bestFit="1" customWidth="1"/>
  </cols>
  <sheetData>
    <row r="1" spans="2:1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296"/>
      <c r="J1" s="296"/>
      <c r="K1" s="242" t="str">
        <f>'User''s Guide'!C1</f>
        <v>Last  Updated : 'September 2011</v>
      </c>
    </row>
    <row r="2" spans="2:10" s="133" customFormat="1" ht="20.25">
      <c r="B2" s="131" t="s">
        <v>432</v>
      </c>
      <c r="D2" s="130"/>
      <c r="E2" s="130"/>
      <c r="F2" s="130"/>
      <c r="G2" s="130"/>
      <c r="H2" s="130"/>
      <c r="I2" s="130"/>
      <c r="J2" s="132"/>
    </row>
    <row r="4" ht="15">
      <c r="B4" s="12" t="s">
        <v>19</v>
      </c>
    </row>
    <row r="5" spans="2:3" ht="15">
      <c r="B5" t="s">
        <v>181</v>
      </c>
      <c r="C5" t="s">
        <v>426</v>
      </c>
    </row>
    <row r="6" ht="15">
      <c r="B6" t="s">
        <v>276</v>
      </c>
    </row>
    <row r="7" spans="3:25" ht="15">
      <c r="C7" s="19"/>
      <c r="D7" s="9" t="s">
        <v>28</v>
      </c>
      <c r="E7">
        <v>0</v>
      </c>
      <c r="F7">
        <v>1</v>
      </c>
      <c r="G7">
        <v>2</v>
      </c>
      <c r="H7">
        <v>3</v>
      </c>
      <c r="I7">
        <v>4</v>
      </c>
      <c r="J7">
        <v>5</v>
      </c>
      <c r="K7">
        <v>6</v>
      </c>
      <c r="L7">
        <v>7</v>
      </c>
      <c r="M7">
        <v>8</v>
      </c>
      <c r="N7">
        <v>9</v>
      </c>
      <c r="O7">
        <v>10</v>
      </c>
      <c r="P7">
        <v>11</v>
      </c>
      <c r="Q7">
        <v>12</v>
      </c>
      <c r="R7">
        <v>13</v>
      </c>
      <c r="S7">
        <v>14</v>
      </c>
      <c r="T7">
        <v>15</v>
      </c>
      <c r="U7">
        <v>16</v>
      </c>
      <c r="V7">
        <v>17</v>
      </c>
      <c r="W7">
        <v>18</v>
      </c>
      <c r="X7">
        <v>19</v>
      </c>
      <c r="Y7">
        <v>20</v>
      </c>
    </row>
    <row r="8" spans="3:25" ht="15">
      <c r="C8" s="19"/>
      <c r="D8" s="8">
        <v>2010</v>
      </c>
      <c r="E8" s="8">
        <v>2011</v>
      </c>
      <c r="F8" s="8">
        <v>2012</v>
      </c>
      <c r="G8" s="8">
        <v>2013</v>
      </c>
      <c r="H8" s="8">
        <v>2014</v>
      </c>
      <c r="I8" s="8">
        <v>2015</v>
      </c>
      <c r="J8" s="8">
        <v>2016</v>
      </c>
      <c r="K8" s="8">
        <v>2017</v>
      </c>
      <c r="L8" s="8">
        <v>2018</v>
      </c>
      <c r="M8" s="8">
        <v>2019</v>
      </c>
      <c r="N8" s="8">
        <v>2020</v>
      </c>
      <c r="O8" s="8">
        <v>2021</v>
      </c>
      <c r="P8" s="8">
        <v>2022</v>
      </c>
      <c r="Q8" s="8">
        <v>2023</v>
      </c>
      <c r="R8" s="8">
        <v>2024</v>
      </c>
      <c r="S8" s="8">
        <v>2025</v>
      </c>
      <c r="T8" s="8">
        <v>2026</v>
      </c>
      <c r="U8" s="8">
        <v>2027</v>
      </c>
      <c r="V8" s="8">
        <v>2028</v>
      </c>
      <c r="W8" s="8">
        <v>2029</v>
      </c>
      <c r="X8" s="8">
        <v>2030</v>
      </c>
      <c r="Y8" s="8">
        <v>2031</v>
      </c>
    </row>
    <row r="9" spans="2:25" ht="15">
      <c r="B9" t="s">
        <v>133</v>
      </c>
      <c r="C9" s="19"/>
      <c r="D9" s="7">
        <f>AnalysisSVic!E66+AnalysisSal!E67+AnalysisBV!E67</f>
        <v>0</v>
      </c>
      <c r="E9" s="7">
        <f>AnalysisSVic!F66+AnalysisSal!F67+AnalysisBV!F67</f>
        <v>0</v>
      </c>
      <c r="F9" s="7">
        <f>AnalysisSVic!G66+AnalysisSal!G67+AnalysisBV!G67</f>
        <v>0</v>
      </c>
      <c r="G9" s="7">
        <f>AnalysisSVic!H66+AnalysisSal!H67+AnalysisBV!H67</f>
        <v>0</v>
      </c>
      <c r="H9" s="7">
        <f>AnalysisSVic!I66+AnalysisSal!I67+AnalysisBV!I67</f>
        <v>0</v>
      </c>
      <c r="I9" s="7">
        <f>AnalysisSVic!J66+AnalysisSal!J67+AnalysisBV!J67</f>
        <v>0</v>
      </c>
      <c r="J9" s="7">
        <f>AnalysisSVic!K66+AnalysisSal!K67+AnalysisBV!K67</f>
        <v>109681463.86386186</v>
      </c>
      <c r="K9" s="7">
        <f>AnalysisSVic!L66+AnalysisSal!L67+AnalysisBV!L67</f>
        <v>120388463.907715</v>
      </c>
      <c r="L9" s="7">
        <f>AnalysisSVic!M66+AnalysisSal!M67+AnalysisBV!M67</f>
        <v>131630813.9537611</v>
      </c>
      <c r="M9" s="7">
        <f>AnalysisSVic!N66+AnalysisSal!N67+AnalysisBV!N67</f>
        <v>143435281.50210905</v>
      </c>
      <c r="N9" s="7">
        <f>AnalysisSVic!O66+AnalysisSal!O67+AnalysisBV!O67</f>
        <v>155829972.4278749</v>
      </c>
      <c r="O9" s="7">
        <f>AnalysisSVic!P66+AnalysisSal!P67+AnalysisBV!P67</f>
        <v>168844397.89992836</v>
      </c>
      <c r="P9" s="7">
        <f>AnalysisSVic!Q66+AnalysisSal!Q67+AnalysisBV!Q67</f>
        <v>182509544.64558533</v>
      </c>
      <c r="Q9" s="7">
        <f>AnalysisSVic!R66+AnalysisSal!R67+AnalysisBV!R67</f>
        <v>196857948.7285241</v>
      </c>
      <c r="R9" s="7">
        <f>AnalysisSVic!S66+AnalysisSal!S67+AnalysisBV!S67</f>
        <v>211923773.01561093</v>
      </c>
      <c r="S9" s="7">
        <f>AnalysisSVic!T66+AnalysisSal!T67+AnalysisBV!T67</f>
        <v>227742888.51705092</v>
      </c>
      <c r="T9" s="7">
        <f>AnalysisSVic!U66+AnalysisSal!U67+AnalysisBV!U67</f>
        <v>244352959.79356346</v>
      </c>
      <c r="U9" s="7">
        <f>AnalysisSVic!V66+AnalysisSal!V67+AnalysisBV!V67</f>
        <v>261793534.63390246</v>
      </c>
      <c r="V9" s="7">
        <f>AnalysisSVic!W66+AnalysisSal!W67+AnalysisBV!W67</f>
        <v>280106138.21625775</v>
      </c>
      <c r="W9" s="7">
        <f>AnalysisSVic!X66+AnalysisSal!X67+AnalysisBV!X67</f>
        <v>299334371.97773075</v>
      </c>
      <c r="X9" s="7">
        <f>AnalysisSVic!Y66+AnalysisSal!Y67+AnalysisBV!Y67</f>
        <v>207758549.6685359</v>
      </c>
      <c r="Y9" s="7">
        <f>AnalysisSVic!Z66+AnalysisSal!Z67+AnalysisBV!Z67</f>
        <v>139923234.83891252</v>
      </c>
    </row>
    <row r="10" spans="2:25" ht="15">
      <c r="B10" t="s">
        <v>136</v>
      </c>
      <c r="C10" s="19"/>
      <c r="D10" s="7">
        <f>AnalysisSVic!E67+AnalysisSal!E68+AnalysisBV!E68</f>
        <v>0</v>
      </c>
      <c r="E10" s="7">
        <f>AnalysisSVic!F67+AnalysisSal!F68+AnalysisBV!F68</f>
        <v>0</v>
      </c>
      <c r="F10" s="7">
        <f>AnalysisSVic!G67+AnalysisSal!G68+AnalysisBV!G68</f>
        <v>0</v>
      </c>
      <c r="G10" s="7">
        <f>AnalysisSVic!H67+AnalysisSal!H68+AnalysisBV!H68</f>
        <v>0</v>
      </c>
      <c r="H10" s="7">
        <f>AnalysisSVic!I67+AnalysisSal!I68+AnalysisBV!I68</f>
        <v>0</v>
      </c>
      <c r="I10" s="7">
        <f>AnalysisSVic!J67+AnalysisSal!J68+AnalysisBV!J68</f>
        <v>0</v>
      </c>
      <c r="J10" s="7">
        <f>AnalysisSVic!K67+AnalysisSal!K68+AnalysisBV!K68</f>
        <v>11851002.063957177</v>
      </c>
      <c r="K10" s="7">
        <f>AnalysisSVic!L67+AnalysisSal!L68+AnalysisBV!L68</f>
        <v>13007885.598772041</v>
      </c>
      <c r="L10" s="7">
        <f>AnalysisSVic!M67+AnalysisSal!M68+AnalysisBV!M68</f>
        <v>14222613.310327683</v>
      </c>
      <c r="M10" s="7">
        <f>AnalysisSVic!N67+AnalysisSal!N68+AnalysisBV!N68</f>
        <v>15498077.40746105</v>
      </c>
      <c r="N10" s="7">
        <f>AnalysisSVic!O67+AnalysisSal!O68+AnalysisBV!O68</f>
        <v>16837314.709451146</v>
      </c>
      <c r="O10" s="7">
        <f>AnalysisSVic!P67+AnalysisSal!P68+AnalysisBV!P68</f>
        <v>18243513.876540676</v>
      </c>
      <c r="P10" s="7">
        <f>AnalysisSVic!Q67+AnalysisSal!Q68+AnalysisBV!Q68</f>
        <v>19720023.001984768</v>
      </c>
      <c r="Q10" s="7">
        <f>AnalysisSVic!R67+AnalysisSal!R68+AnalysisBV!R68</f>
        <v>21270357.583700947</v>
      </c>
      <c r="R10" s="7">
        <f>AnalysisSVic!S67+AnalysisSal!S68+AnalysisBV!S68</f>
        <v>22898208.89450306</v>
      </c>
      <c r="S10" s="7">
        <f>AnalysisSVic!T67+AnalysisSal!T68+AnalysisBV!T68</f>
        <v>24607452.770845156</v>
      </c>
      <c r="T10" s="7">
        <f>AnalysisSVic!U67+AnalysisSal!U68+AnalysisBV!U68</f>
        <v>26402158.84100441</v>
      </c>
      <c r="U10" s="7">
        <f>AnalysisSVic!V67+AnalysisSal!V68+AnalysisBV!V68</f>
        <v>28286600.214671716</v>
      </c>
      <c r="V10" s="7">
        <f>AnalysisSVic!W67+AnalysisSal!W68+AnalysisBV!W68</f>
        <v>30265263.657022323</v>
      </c>
      <c r="W10" s="7">
        <f>AnalysisSVic!X67+AnalysisSal!X68+AnalysisBV!X68</f>
        <v>32342860.27149045</v>
      </c>
      <c r="X10" s="7">
        <f>AnalysisSVic!Y67+AnalysisSal!Y68+AnalysisBV!Y68</f>
        <v>22448159.553948145</v>
      </c>
      <c r="Y10" s="7">
        <f>AnalysisSVic!Z67+AnalysisSal!Z68+AnalysisBV!Z68</f>
        <v>15118603.330547592</v>
      </c>
    </row>
    <row r="11" spans="2:25" ht="15">
      <c r="B11" t="s">
        <v>138</v>
      </c>
      <c r="C11" s="19"/>
      <c r="D11" s="7">
        <f>AnalysisSVic!E68+AnalysisSal!E69+AnalysisBV!E69</f>
        <v>0</v>
      </c>
      <c r="E11" s="7">
        <f>AnalysisSVic!F68+AnalysisSal!F69+AnalysisBV!F69</f>
        <v>0</v>
      </c>
      <c r="F11" s="7">
        <f>AnalysisSVic!G68+AnalysisSal!G69+AnalysisBV!G69</f>
        <v>0</v>
      </c>
      <c r="G11" s="7">
        <f>AnalysisSVic!H68+AnalysisSal!H69+AnalysisBV!H69</f>
        <v>0</v>
      </c>
      <c r="H11" s="7">
        <f>AnalysisSVic!I68+AnalysisSal!I69+AnalysisBV!I69</f>
        <v>0</v>
      </c>
      <c r="I11" s="7">
        <f>AnalysisSVic!J68+AnalysisSal!J69+AnalysisBV!J69</f>
        <v>0</v>
      </c>
      <c r="J11" s="7">
        <f>AnalysisSVic!K68+AnalysisSal!K69+AnalysisBV!K69</f>
        <v>165914028.8954005</v>
      </c>
      <c r="K11" s="7">
        <f>AnalysisSVic!L68+AnalysisSal!L69+AnalysisBV!L69</f>
        <v>182110398.38280857</v>
      </c>
      <c r="L11" s="7">
        <f>AnalysisSVic!M68+AnalysisSal!M69+AnalysisBV!M69</f>
        <v>199116586.34458756</v>
      </c>
      <c r="M11" s="7">
        <f>AnalysisSVic!N68+AnalysisSal!N69+AnalysisBV!N69</f>
        <v>216973083.70445475</v>
      </c>
      <c r="N11" s="7">
        <f>AnalysisSVic!O68+AnalysisSal!O69+AnalysisBV!O69</f>
        <v>235722405.93231606</v>
      </c>
      <c r="O11" s="7">
        <f>AnalysisSVic!P68+AnalysisSal!P69+AnalysisBV!P69</f>
        <v>255409194.27156943</v>
      </c>
      <c r="P11" s="7">
        <f>AnalysisSVic!Q68+AnalysisSal!Q69+AnalysisBV!Q69</f>
        <v>276080322.02778673</v>
      </c>
      <c r="Q11" s="7">
        <f>AnalysisSVic!R68+AnalysisSal!R69+AnalysisBV!R69</f>
        <v>297785006.17181325</v>
      </c>
      <c r="R11" s="7">
        <f>AnalysisSVic!S68+AnalysisSal!S69+AnalysisBV!S69</f>
        <v>320574924.52304286</v>
      </c>
      <c r="S11" s="7">
        <f>AnalysisSVic!T68+AnalysisSal!T69+AnalysisBV!T69</f>
        <v>344504338.79183215</v>
      </c>
      <c r="T11" s="7">
        <f>AnalysisSVic!U68+AnalysisSal!U69+AnalysisBV!U69</f>
        <v>369630223.7740617</v>
      </c>
      <c r="U11" s="7">
        <f>AnalysisSVic!V68+AnalysisSal!V69+AnalysisBV!V69</f>
        <v>396012403.00540406</v>
      </c>
      <c r="V11" s="7">
        <f>AnalysisSVic!W68+AnalysisSal!W69+AnalysisBV!W69</f>
        <v>423713691.1983125</v>
      </c>
      <c r="W11" s="7">
        <f>AnalysisSVic!X68+AnalysisSal!X69+AnalysisBV!X69</f>
        <v>452800043.80086637</v>
      </c>
      <c r="X11" s="7">
        <f>AnalysisSVic!Y68+AnalysisSal!Y69+AnalysisBV!Y69</f>
        <v>314274233.75527406</v>
      </c>
      <c r="Y11" s="7">
        <f>AnalysisSVic!Z68+AnalysisSal!Z69+AnalysisBV!Z69</f>
        <v>211660446.62766626</v>
      </c>
    </row>
    <row r="12" spans="2:25" ht="15">
      <c r="B12" t="s">
        <v>176</v>
      </c>
      <c r="C12" s="19"/>
      <c r="D12" s="7">
        <f>AnalysisSVic!E69+AnalysisSal!E70+AnalysisBV!E70</f>
        <v>0</v>
      </c>
      <c r="E12" s="7">
        <f>AnalysisSVic!F69+AnalysisSal!F70+AnalysisBV!F70</f>
        <v>0</v>
      </c>
      <c r="F12" s="7">
        <f>AnalysisSVic!G69+AnalysisSal!G70+AnalysisBV!G70</f>
        <v>0</v>
      </c>
      <c r="G12" s="7">
        <f>AnalysisSVic!H69+AnalysisSal!H70+AnalysisBV!H70</f>
        <v>0</v>
      </c>
      <c r="H12" s="7">
        <f>AnalysisSVic!I69+AnalysisSal!I70+AnalysisBV!I70</f>
        <v>0</v>
      </c>
      <c r="I12" s="7">
        <f>AnalysisSVic!J69+AnalysisSal!J70+AnalysisBV!J70</f>
        <v>0</v>
      </c>
      <c r="J12" s="7">
        <f>AnalysisSVic!K69+AnalysisSal!K70+AnalysisBV!K70</f>
        <v>88882515.47967885</v>
      </c>
      <c r="K12" s="7">
        <f>AnalysisSVic!L69+AnalysisSal!L70+AnalysisBV!L70</f>
        <v>97559141.99079034</v>
      </c>
      <c r="L12" s="7">
        <f>AnalysisSVic!M69+AnalysisSal!M70+AnalysisBV!M70</f>
        <v>106669599.82745764</v>
      </c>
      <c r="M12" s="7">
        <f>AnalysisSVic!N69+AnalysisSal!N70+AnalysisBV!N70</f>
        <v>116235580.55595791</v>
      </c>
      <c r="N12" s="7">
        <f>AnalysisSVic!O69+AnalysisSal!O70+AnalysisBV!O70</f>
        <v>126279860.32088362</v>
      </c>
      <c r="O12" s="7">
        <f>AnalysisSVic!P69+AnalysisSal!P70+AnalysisBV!P70</f>
        <v>136826354.07405508</v>
      </c>
      <c r="P12" s="7">
        <f>AnalysisSVic!Q69+AnalysisSal!Q70+AnalysisBV!Q70</f>
        <v>147900172.51488578</v>
      </c>
      <c r="Q12" s="7">
        <f>AnalysisSVic!R69+AnalysisSal!R70+AnalysisBV!R70</f>
        <v>159527681.87775713</v>
      </c>
      <c r="R12" s="7">
        <f>AnalysisSVic!S69+AnalysisSal!S70+AnalysisBV!S70</f>
        <v>171736566.708773</v>
      </c>
      <c r="S12" s="7">
        <f>AnalysisSVic!T69+AnalysisSal!T70+AnalysisBV!T70</f>
        <v>184555895.7813387</v>
      </c>
      <c r="T12" s="7">
        <f>AnalysisSVic!U69+AnalysisSal!U70+AnalysisBV!U70</f>
        <v>198016191.3075331</v>
      </c>
      <c r="U12" s="7">
        <f>AnalysisSVic!V69+AnalysisSal!V70+AnalysisBV!V70</f>
        <v>212149501.61003792</v>
      </c>
      <c r="V12" s="7">
        <f>AnalysisSVic!W69+AnalysisSal!W70+AnalysisBV!W70</f>
        <v>226989477.42766744</v>
      </c>
      <c r="W12" s="7">
        <f>AnalysisSVic!X69+AnalysisSal!X70+AnalysisBV!X70</f>
        <v>242571452.0361784</v>
      </c>
      <c r="X12" s="7">
        <f>AnalysisSVic!Y69+AnalysisSal!Y70+AnalysisBV!Y70</f>
        <v>168361196.6546111</v>
      </c>
      <c r="Y12" s="7">
        <f>AnalysisSVic!Z69+AnalysisSal!Z70+AnalysisBV!Z70</f>
        <v>113389524.97910695</v>
      </c>
    </row>
    <row r="13" spans="2:25" ht="15">
      <c r="B13" t="s">
        <v>140</v>
      </c>
      <c r="C13" s="19"/>
      <c r="D13" s="7">
        <f>AnalysisSVic!E70+AnalysisSal!E71+AnalysisBV!E71</f>
        <v>0</v>
      </c>
      <c r="E13" s="7">
        <f>AnalysisSVic!F70+AnalysisSal!F71+AnalysisBV!F71</f>
        <v>0</v>
      </c>
      <c r="F13" s="7">
        <f>AnalysisSVic!G70+AnalysisSal!G71+AnalysisBV!G71</f>
        <v>0</v>
      </c>
      <c r="G13" s="7">
        <f>AnalysisSVic!H70+AnalysisSal!H71+AnalysisBV!H71</f>
        <v>0</v>
      </c>
      <c r="H13" s="7">
        <f>AnalysisSVic!I70+AnalysisSal!I71+AnalysisBV!I71</f>
        <v>0</v>
      </c>
      <c r="I13" s="7">
        <f>AnalysisSVic!J70+AnalysisSal!J71+AnalysisBV!J71</f>
        <v>0</v>
      </c>
      <c r="J13" s="7">
        <f>AnalysisSVic!K70+AnalysisSal!K71+AnalysisBV!K71</f>
        <v>1656704464.4145012</v>
      </c>
      <c r="K13" s="7">
        <f>AnalysisSVic!L70+AnalysisSal!L71+AnalysisBV!L71</f>
        <v>161725912.00236785</v>
      </c>
      <c r="L13" s="7">
        <f>AnalysisSVic!M70+AnalysisSal!M71+AnalysisBV!M71</f>
        <v>169812207.6024866</v>
      </c>
      <c r="M13" s="7">
        <f>AnalysisSVic!N70+AnalysisSal!N71+AnalysisBV!N71</f>
        <v>178302817.98261163</v>
      </c>
      <c r="N13" s="7">
        <f>AnalysisSVic!O70+AnalysisSal!O71+AnalysisBV!O71</f>
        <v>187217958.88174093</v>
      </c>
      <c r="O13" s="7">
        <f>AnalysisSVic!P70+AnalysisSal!P71+AnalysisBV!P71</f>
        <v>196578856.82583228</v>
      </c>
      <c r="P13" s="7">
        <f>AnalysisSVic!Q70+AnalysisSal!Q71+AnalysisBV!Q71</f>
        <v>206407799.6671209</v>
      </c>
      <c r="Q13" s="7">
        <f>AnalysisSVic!R70+AnalysisSal!R71+AnalysisBV!R71</f>
        <v>216728189.6504727</v>
      </c>
      <c r="R13" s="7">
        <f>AnalysisSVic!S70+AnalysisSal!S71+AnalysisBV!S71</f>
        <v>227564599.132998</v>
      </c>
      <c r="S13" s="7">
        <f>AnalysisSVic!T70+AnalysisSal!T71+AnalysisBV!T71</f>
        <v>238942829.0896497</v>
      </c>
      <c r="T13" s="7">
        <f>AnalysisSVic!U70+AnalysisSal!U71+AnalysisBV!U71</f>
        <v>250889970.54412767</v>
      </c>
      <c r="U13" s="7">
        <f>AnalysisSVic!V70+AnalysisSal!V71+AnalysisBV!V71</f>
        <v>263434469.07134354</v>
      </c>
      <c r="V13" s="7">
        <f>AnalysisSVic!W70+AnalysisSal!W71+AnalysisBV!W71</f>
        <v>276606192.5249062</v>
      </c>
      <c r="W13" s="7">
        <f>AnalysisSVic!X70+AnalysisSal!X71+AnalysisBV!X71</f>
        <v>290436502.1511501</v>
      </c>
      <c r="X13" s="7">
        <f>AnalysisSVic!Y70+AnalysisSal!Y71+AnalysisBV!Y71</f>
        <v>-1427851562.609048</v>
      </c>
      <c r="Y13" s="7">
        <f>AnalysisSVic!Z70+AnalysisSal!Z71+AnalysisBV!Z71</f>
        <v>-1060182222.3881514</v>
      </c>
    </row>
    <row r="14" spans="2:25" ht="15">
      <c r="B14" t="s">
        <v>179</v>
      </c>
      <c r="C14" s="19"/>
      <c r="D14" s="7">
        <f>AnalysisSVic!E71+AnalysisSal!E72+AnalysisBV!E72</f>
        <v>0</v>
      </c>
      <c r="E14" s="7">
        <f>AnalysisSVic!F71+AnalysisSal!F72+AnalysisBV!F72</f>
        <v>0</v>
      </c>
      <c r="F14" s="7">
        <f>AnalysisSVic!G71+AnalysisSal!G72+AnalysisBV!G72</f>
        <v>0</v>
      </c>
      <c r="G14" s="7">
        <f>AnalysisSVic!H71+AnalysisSal!H72+AnalysisBV!H72</f>
        <v>0</v>
      </c>
      <c r="H14" s="7">
        <f>AnalysisSVic!I71+AnalysisSal!I72+AnalysisBV!I72</f>
        <v>0</v>
      </c>
      <c r="I14" s="7">
        <f>AnalysisSVic!J71+AnalysisSal!J72+AnalysisBV!J72</f>
        <v>0</v>
      </c>
      <c r="J14" s="7">
        <f>AnalysisSVic!K71+AnalysisSal!K72+AnalysisBV!K72</f>
        <v>2033033474.7173996</v>
      </c>
      <c r="K14" s="7">
        <f>AnalysisSVic!L71+AnalysisSal!L72+AnalysisBV!L72</f>
        <v>574791801.8824538</v>
      </c>
      <c r="L14" s="7">
        <f>AnalysisSVic!M71+AnalysisSal!M72+AnalysisBV!M72</f>
        <v>621451821.0386206</v>
      </c>
      <c r="M14" s="7">
        <f>AnalysisSVic!N71+AnalysisSal!N72+AnalysisBV!N72</f>
        <v>670444841.1525943</v>
      </c>
      <c r="N14" s="7">
        <f>AnalysisSVic!O71+AnalysisSal!O72+AnalysisBV!O72</f>
        <v>721887512.2722666</v>
      </c>
      <c r="O14" s="7">
        <f>AnalysisSVic!P71+AnalysisSal!P72+AnalysisBV!P72</f>
        <v>775902316.9479259</v>
      </c>
      <c r="P14" s="7">
        <f>AnalysisSVic!Q71+AnalysisSal!Q72+AnalysisBV!Q72</f>
        <v>832617861.8573635</v>
      </c>
      <c r="Q14" s="7">
        <f>AnalysisSVic!R71+AnalysisSal!R72+AnalysisBV!R72</f>
        <v>892169184.0122681</v>
      </c>
      <c r="R14" s="7">
        <f>AnalysisSVic!S71+AnalysisSal!S72+AnalysisBV!S72</f>
        <v>954698072.2749279</v>
      </c>
      <c r="S14" s="7">
        <f>AnalysisSVic!T71+AnalysisSal!T72+AnalysisBV!T72</f>
        <v>1020353404.9507166</v>
      </c>
      <c r="T14" s="7">
        <f>AnalysisSVic!U71+AnalysisSal!U72+AnalysisBV!U72</f>
        <v>1089291504.2602904</v>
      </c>
      <c r="U14" s="7">
        <f>AnalysisSVic!V71+AnalysisSal!V72+AnalysisBV!V72</f>
        <v>1161676508.5353599</v>
      </c>
      <c r="V14" s="7">
        <f>AnalysisSVic!W71+AnalysisSal!W72+AnalysisBV!W72</f>
        <v>1237680763.0241663</v>
      </c>
      <c r="W14" s="7">
        <f>AnalysisSVic!X71+AnalysisSal!X72+AnalysisBV!X72</f>
        <v>1317485230.2374163</v>
      </c>
      <c r="X14" s="7">
        <f>AnalysisSVic!Y71+AnalysisSal!Y72+AnalysisBV!Y72</f>
        <v>-715009422.9766786</v>
      </c>
      <c r="Y14" s="7">
        <f>AnalysisSVic!Z71+AnalysisSal!Z72+AnalysisBV!Z72</f>
        <v>-580090412.611918</v>
      </c>
    </row>
    <row r="15" spans="2:25" ht="15">
      <c r="B15" t="s">
        <v>147</v>
      </c>
      <c r="C15" s="19"/>
      <c r="D15" s="7">
        <f>AnalysisSVic!E72+AnalysisSal!E73+AnalysisBV!E73</f>
        <v>0</v>
      </c>
      <c r="E15" s="7">
        <f>AnalysisSVic!F72+AnalysisSal!F73+AnalysisBV!F73</f>
        <v>0</v>
      </c>
      <c r="F15" s="7">
        <f>AnalysisSVic!G72+AnalysisSal!G73+AnalysisBV!G73</f>
        <v>0</v>
      </c>
      <c r="G15" s="7">
        <f>AnalysisSVic!H72+AnalysisSal!H73+AnalysisBV!H73</f>
        <v>0</v>
      </c>
      <c r="H15" s="7">
        <f>AnalysisSVic!I72+AnalysisSal!I73+AnalysisBV!I73</f>
        <v>0</v>
      </c>
      <c r="I15" s="7">
        <f>AnalysisSVic!J72+AnalysisSal!J73+AnalysisBV!J73</f>
        <v>0</v>
      </c>
      <c r="J15" s="7">
        <f>AnalysisSVic!K72+AnalysisSal!K73+AnalysisBV!K73</f>
        <v>409254604.60865456</v>
      </c>
      <c r="K15" s="7">
        <f>AnalysisSVic!L72+AnalysisSal!L73+AnalysisBV!L73</f>
        <v>449205649.34426117</v>
      </c>
      <c r="L15" s="7">
        <f>AnalysisSVic!M72+AnalysisSal!M73+AnalysisBV!M73</f>
        <v>491154246.3166493</v>
      </c>
      <c r="M15" s="7">
        <f>AnalysisSVic!N72+AnalysisSal!N73+AnalysisBV!N73</f>
        <v>535200273.137655</v>
      </c>
      <c r="N15" s="7">
        <f>AnalysisSVic!O72+AnalysisSal!O73+AnalysisBV!O73</f>
        <v>581448601.2997129</v>
      </c>
      <c r="O15" s="7">
        <f>AnalysisSVic!P72+AnalysisSal!P73+AnalysisBV!P73</f>
        <v>630009345.8698714</v>
      </c>
      <c r="P15" s="7">
        <f>AnalysisSVic!Q72+AnalysisSal!Q73+AnalysisBV!Q73</f>
        <v>680998127.6685406</v>
      </c>
      <c r="Q15" s="7">
        <f>AnalysisSVic!R72+AnalysisSal!R73+AnalysisBV!R73</f>
        <v>734536348.5571394</v>
      </c>
      <c r="R15" s="7">
        <f>AnalysisSVic!S72+AnalysisSal!S73+AnalysisBV!S73</f>
        <v>790751480.4901724</v>
      </c>
      <c r="S15" s="7">
        <f>AnalysisSVic!T72+AnalysisSal!T73+AnalysisBV!T73</f>
        <v>849777369.0198526</v>
      </c>
      <c r="T15" s="7">
        <f>AnalysisSVic!U72+AnalysisSal!U73+AnalysisBV!U73</f>
        <v>911754551.9760189</v>
      </c>
      <c r="U15" s="7">
        <f>AnalysisSVic!V72+AnalysisSal!V73+AnalysisBV!V73</f>
        <v>976830594.0799966</v>
      </c>
      <c r="V15" s="7">
        <f>AnalysisSVic!W72+AnalysisSal!W73+AnalysisBV!W73</f>
        <v>1045160438.289171</v>
      </c>
      <c r="W15" s="7">
        <f>AnalysisSVic!X72+AnalysisSal!X73+AnalysisBV!X73</f>
        <v>1116906774.7088037</v>
      </c>
      <c r="X15" s="7">
        <f>AnalysisSVic!Y72+AnalysisSal!Y73+AnalysisBV!Y73</f>
        <v>775209776.5963427</v>
      </c>
      <c r="Y15" s="7">
        <f>AnalysisSVic!Z72+AnalysisSal!Z73+AnalysisBV!Z73</f>
        <v>522095768.3482435</v>
      </c>
    </row>
    <row r="16" spans="2:25" ht="15">
      <c r="B16" t="s">
        <v>180</v>
      </c>
      <c r="C16" s="19"/>
      <c r="D16" s="15">
        <f>AnalysisSVic!E73+AnalysisSal!E74+AnalysisBV!E74</f>
        <v>0</v>
      </c>
      <c r="E16" s="15">
        <f>AnalysisSVic!F73+AnalysisSal!F74+AnalysisBV!F74</f>
        <v>0</v>
      </c>
      <c r="F16" s="15">
        <f>AnalysisSVic!G73+AnalysisSal!G74+AnalysisBV!G74</f>
        <v>0</v>
      </c>
      <c r="G16" s="15">
        <f>AnalysisSVic!H73+AnalysisSal!H74+AnalysisBV!H74</f>
        <v>0</v>
      </c>
      <c r="H16" s="15">
        <f>AnalysisSVic!I73+AnalysisSal!I74+AnalysisBV!I74</f>
        <v>0</v>
      </c>
      <c r="I16" s="15">
        <f>AnalysisSVic!J73+AnalysisSal!J74+AnalysisBV!J74</f>
        <v>0</v>
      </c>
      <c r="J16" s="15">
        <f>AnalysisSVic!K73+AnalysisSal!K74+AnalysisBV!K74</f>
        <v>655020621.102938</v>
      </c>
      <c r="K16" s="15">
        <f>AnalysisSVic!L73+AnalysisSal!L74+AnalysisBV!L74</f>
        <v>166728288.8343395</v>
      </c>
      <c r="L16" s="15">
        <f>AnalysisSVic!M73+AnalysisSal!M74+AnalysisBV!M74</f>
        <v>179959265.16327143</v>
      </c>
      <c r="M16" s="15">
        <f>AnalysisSVic!N73+AnalysisSal!N74+AnalysisBV!N74</f>
        <v>193851790.30864495</v>
      </c>
      <c r="N16" s="15">
        <f>AnalysisSVic!O73+AnalysisSal!O74+AnalysisBV!O74</f>
        <v>208438941.71128792</v>
      </c>
      <c r="O16" s="15">
        <f>AnalysisSVic!P73+AnalysisSal!P74+AnalysisBV!P74</f>
        <v>223755450.68406534</v>
      </c>
      <c r="P16" s="15">
        <f>AnalysisSVic!Q73+AnalysisSal!Q74+AnalysisBV!Q74</f>
        <v>239837785.10548094</v>
      </c>
      <c r="Q16" s="15">
        <f>AnalysisSVic!R73+AnalysisSal!R74+AnalysisBV!R74</f>
        <v>256724236.24796143</v>
      </c>
      <c r="R16" s="15">
        <f>AnalysisSVic!S73+AnalysisSal!S74+AnalysisBV!S74</f>
        <v>274455009.94757295</v>
      </c>
      <c r="S16" s="15">
        <f>AnalysisSVic!T73+AnalysisSal!T74+AnalysisBV!T74</f>
        <v>293072322.33216</v>
      </c>
      <c r="T16" s="15">
        <f>AnalysisSVic!U73+AnalysisSal!U74+AnalysisBV!U74</f>
        <v>312620500.3359797</v>
      </c>
      <c r="U16" s="15">
        <f>AnalysisSVic!V73+AnalysisSal!V74+AnalysisBV!V74</f>
        <v>333146087.2399954</v>
      </c>
      <c r="V16" s="15">
        <f>AnalysisSVic!W73+AnalysisSal!W74+AnalysisBV!W74</f>
        <v>354697953.4892039</v>
      </c>
      <c r="W16" s="15">
        <f>AnalysisSVic!X73+AnalysisSal!X74+AnalysisBV!X74</f>
        <v>377327413.0508752</v>
      </c>
      <c r="X16" s="15">
        <f>AnalysisSVic!Y73+AnalysisSal!Y74+AnalysisBV!Y74</f>
        <v>-281253733.41201925</v>
      </c>
      <c r="Y16" s="15">
        <f>AnalysisSVic!Z73+AnalysisSal!Z74+AnalysisBV!Z74</f>
        <v>-222267801.07210308</v>
      </c>
    </row>
    <row r="17" spans="2:25" ht="15">
      <c r="B17" t="s">
        <v>182</v>
      </c>
      <c r="C17" s="19"/>
      <c r="D17" s="105">
        <f>SUM(D9:D16)</f>
        <v>0</v>
      </c>
      <c r="E17" s="105">
        <f aca="true" t="shared" si="0" ref="E17:Y17">SUM(E9:E16)</f>
        <v>0</v>
      </c>
      <c r="F17" s="105">
        <f t="shared" si="0"/>
        <v>0</v>
      </c>
      <c r="G17" s="105">
        <f t="shared" si="0"/>
        <v>0</v>
      </c>
      <c r="H17" s="105">
        <f t="shared" si="0"/>
        <v>0</v>
      </c>
      <c r="I17" s="105">
        <f t="shared" si="0"/>
        <v>0</v>
      </c>
      <c r="J17" s="105">
        <f t="shared" si="0"/>
        <v>5130342175.146392</v>
      </c>
      <c r="K17" s="105">
        <f t="shared" si="0"/>
        <v>1765517541.9435081</v>
      </c>
      <c r="L17" s="105">
        <f t="shared" si="0"/>
        <v>1914017153.5571618</v>
      </c>
      <c r="M17" s="105">
        <f t="shared" si="0"/>
        <v>2069941745.7514887</v>
      </c>
      <c r="N17" s="105">
        <f t="shared" si="0"/>
        <v>2233662567.555534</v>
      </c>
      <c r="O17" s="105">
        <f t="shared" si="0"/>
        <v>2405569430.4497886</v>
      </c>
      <c r="P17" s="105">
        <f t="shared" si="0"/>
        <v>2586071636.4887486</v>
      </c>
      <c r="Q17" s="105">
        <f t="shared" si="0"/>
        <v>2775598952.829637</v>
      </c>
      <c r="R17" s="105">
        <f t="shared" si="0"/>
        <v>2974602634.9876013</v>
      </c>
      <c r="S17" s="105">
        <f t="shared" si="0"/>
        <v>3183556501.2534456</v>
      </c>
      <c r="T17" s="105">
        <f t="shared" si="0"/>
        <v>3402958060.8325796</v>
      </c>
      <c r="U17" s="105">
        <f t="shared" si="0"/>
        <v>3633329698.390712</v>
      </c>
      <c r="V17" s="105">
        <f t="shared" si="0"/>
        <v>3875219917.8267074</v>
      </c>
      <c r="W17" s="105">
        <f t="shared" si="0"/>
        <v>4129204648.2345114</v>
      </c>
      <c r="X17" s="105">
        <f t="shared" si="0"/>
        <v>-936062802.7690338</v>
      </c>
      <c r="Y17" s="105">
        <f t="shared" si="0"/>
        <v>-860352857.9476955</v>
      </c>
    </row>
    <row r="18" spans="2:25" ht="15">
      <c r="B18" s="17" t="s">
        <v>183</v>
      </c>
      <c r="C18" s="19"/>
      <c r="D18" s="104"/>
      <c r="E18" s="104"/>
      <c r="F18" s="104"/>
      <c r="G18" s="104"/>
      <c r="H18" s="104"/>
      <c r="I18" s="104"/>
      <c r="J18" s="104"/>
      <c r="K18" s="104"/>
      <c r="L18" s="104"/>
      <c r="M18" s="104"/>
      <c r="N18" s="104"/>
      <c r="O18" s="104"/>
      <c r="P18" s="104"/>
      <c r="Q18" s="104"/>
      <c r="R18" s="104"/>
      <c r="S18" s="104"/>
      <c r="T18" s="104"/>
      <c r="U18" s="104"/>
      <c r="V18" s="104"/>
      <c r="W18" s="104"/>
      <c r="X18" s="104"/>
      <c r="Y18" s="104"/>
    </row>
    <row r="19" spans="2:25" ht="15">
      <c r="B19" t="s">
        <v>185</v>
      </c>
      <c r="C19" s="19"/>
      <c r="D19" s="104"/>
      <c r="E19" s="104"/>
      <c r="F19" s="104"/>
      <c r="G19" s="104"/>
      <c r="H19" s="104"/>
      <c r="I19" s="104"/>
      <c r="J19" s="104"/>
      <c r="K19" s="104"/>
      <c r="L19" s="104"/>
      <c r="M19" s="104"/>
      <c r="N19" s="104"/>
      <c r="O19" s="104"/>
      <c r="P19" s="104"/>
      <c r="Q19" s="104"/>
      <c r="R19" s="104"/>
      <c r="S19" s="104"/>
      <c r="T19" s="104"/>
      <c r="U19" s="104"/>
      <c r="V19" s="104"/>
      <c r="W19" s="104"/>
      <c r="X19" s="104"/>
      <c r="Y19" s="104"/>
    </row>
    <row r="20" spans="2:25" ht="15">
      <c r="B20" t="s">
        <v>133</v>
      </c>
      <c r="C20" s="311">
        <f>NPV(0.1,F9:Y9)</f>
        <v>929251132.7886268</v>
      </c>
      <c r="D20" s="104"/>
      <c r="E20" s="104"/>
      <c r="F20" s="104"/>
      <c r="G20" s="104"/>
      <c r="H20" s="104"/>
      <c r="I20" s="104"/>
      <c r="J20" s="104"/>
      <c r="K20" s="104"/>
      <c r="L20" s="104"/>
      <c r="M20" s="104"/>
      <c r="N20" s="104"/>
      <c r="O20" s="104"/>
      <c r="P20" s="104"/>
      <c r="Q20" s="104"/>
      <c r="R20" s="104"/>
      <c r="S20" s="104"/>
      <c r="T20" s="104"/>
      <c r="U20" s="104"/>
      <c r="V20" s="104"/>
      <c r="W20" s="104"/>
      <c r="X20" s="104"/>
      <c r="Y20" s="104"/>
    </row>
    <row r="21" spans="2:25" ht="15">
      <c r="B21" t="s">
        <v>136</v>
      </c>
      <c r="C21" s="311">
        <f aca="true" t="shared" si="1" ref="C21:C27">NPV(0.1,F10:Y10)</f>
        <v>100404906.21351938</v>
      </c>
      <c r="D21" s="104"/>
      <c r="E21" s="104"/>
      <c r="F21" s="104"/>
      <c r="G21" s="104"/>
      <c r="H21" s="104"/>
      <c r="I21" s="104"/>
      <c r="J21" s="104"/>
      <c r="K21" s="104"/>
      <c r="L21" s="104"/>
      <c r="M21" s="104"/>
      <c r="N21" s="104"/>
      <c r="O21" s="104"/>
      <c r="P21" s="104"/>
      <c r="Q21" s="104"/>
      <c r="R21" s="104"/>
      <c r="S21" s="104"/>
      <c r="T21" s="104"/>
      <c r="U21" s="104"/>
      <c r="V21" s="104"/>
      <c r="W21" s="104"/>
      <c r="X21" s="104"/>
      <c r="Y21" s="104"/>
    </row>
    <row r="22" spans="2:25" ht="15">
      <c r="B22" t="s">
        <v>138</v>
      </c>
      <c r="C22" s="311">
        <f t="shared" si="1"/>
        <v>1405668686.9892714</v>
      </c>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5">
      <c r="B23" t="s">
        <v>176</v>
      </c>
      <c r="C23" s="311">
        <f t="shared" si="1"/>
        <v>753036796.6013955</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5">
      <c r="B24" t="s">
        <v>140</v>
      </c>
      <c r="C24" s="312">
        <f t="shared" si="1"/>
        <v>1549021286.658411</v>
      </c>
      <c r="D24" s="104"/>
      <c r="E24" s="104"/>
      <c r="F24" s="104"/>
      <c r="G24" s="104"/>
      <c r="H24" s="104"/>
      <c r="I24" s="104"/>
      <c r="J24" s="104"/>
      <c r="K24" s="104"/>
      <c r="L24" s="104"/>
      <c r="M24" s="104"/>
      <c r="N24" s="104"/>
      <c r="O24" s="104"/>
      <c r="P24" s="104"/>
      <c r="Q24" s="104"/>
      <c r="R24" s="104"/>
      <c r="S24" s="104"/>
      <c r="T24" s="104"/>
      <c r="U24" s="104"/>
      <c r="V24" s="104"/>
      <c r="W24" s="104"/>
      <c r="X24" s="104"/>
      <c r="Y24" s="104"/>
    </row>
    <row r="25" spans="2:25" ht="15">
      <c r="B25" t="s">
        <v>179</v>
      </c>
      <c r="C25" s="311">
        <f t="shared" si="1"/>
        <v>4737382809.251224</v>
      </c>
      <c r="D25" s="104"/>
      <c r="E25" s="104"/>
      <c r="F25" s="104"/>
      <c r="G25" s="104"/>
      <c r="H25" s="104"/>
      <c r="I25" s="104"/>
      <c r="J25" s="104"/>
      <c r="K25" s="104"/>
      <c r="L25" s="104"/>
      <c r="M25" s="104"/>
      <c r="N25" s="104"/>
      <c r="O25" s="104"/>
      <c r="P25" s="104"/>
      <c r="Q25" s="104"/>
      <c r="R25" s="104"/>
      <c r="S25" s="104"/>
      <c r="T25" s="104"/>
      <c r="U25" s="104"/>
      <c r="V25" s="104"/>
      <c r="W25" s="104"/>
      <c r="X25" s="104"/>
      <c r="Y25" s="104"/>
    </row>
    <row r="26" spans="2:25" ht="15">
      <c r="B26" t="s">
        <v>147</v>
      </c>
      <c r="C26" s="311">
        <f t="shared" si="1"/>
        <v>3467316094.5735354</v>
      </c>
      <c r="D26" s="313">
        <f>C26/[0]!exrate</f>
        <v>45030079.15030566</v>
      </c>
      <c r="E26" s="104"/>
      <c r="F26" s="104"/>
      <c r="G26" s="104"/>
      <c r="H26" s="104"/>
      <c r="I26" s="104"/>
      <c r="J26" s="104"/>
      <c r="K26" s="104"/>
      <c r="L26" s="104"/>
      <c r="M26" s="104"/>
      <c r="N26" s="104"/>
      <c r="O26" s="104"/>
      <c r="P26" s="104"/>
      <c r="Q26" s="104"/>
      <c r="R26" s="104"/>
      <c r="S26" s="104"/>
      <c r="T26" s="104"/>
      <c r="U26" s="104"/>
      <c r="V26" s="104"/>
      <c r="W26" s="104"/>
      <c r="X26" s="104"/>
      <c r="Y26" s="104"/>
    </row>
    <row r="27" spans="2:25" ht="15">
      <c r="B27" t="s">
        <v>180</v>
      </c>
      <c r="C27" s="312">
        <f t="shared" si="1"/>
        <v>1387169622.6015837</v>
      </c>
      <c r="D27" s="104"/>
      <c r="E27" s="104"/>
      <c r="F27" s="104"/>
      <c r="G27" s="104"/>
      <c r="H27" s="104"/>
      <c r="I27" s="104"/>
      <c r="J27" s="104"/>
      <c r="K27" s="104"/>
      <c r="L27" s="104"/>
      <c r="M27" s="104"/>
      <c r="N27" s="104"/>
      <c r="O27" s="104"/>
      <c r="P27" s="104"/>
      <c r="Q27" s="104"/>
      <c r="R27" s="104"/>
      <c r="S27" s="104"/>
      <c r="T27" s="104"/>
      <c r="U27" s="104"/>
      <c r="V27" s="104"/>
      <c r="W27" s="104"/>
      <c r="X27" s="104"/>
      <c r="Y27" s="104"/>
    </row>
    <row r="28" spans="2:25" ht="15">
      <c r="B28" t="s">
        <v>182</v>
      </c>
      <c r="C28" s="105">
        <f>C25+C26+C27</f>
        <v>9591868526.426342</v>
      </c>
      <c r="D28" s="105"/>
      <c r="E28" s="104"/>
      <c r="F28" s="104"/>
      <c r="G28" s="104"/>
      <c r="H28" s="104"/>
      <c r="I28" s="104"/>
      <c r="J28" s="104"/>
      <c r="K28" s="104"/>
      <c r="L28" s="104"/>
      <c r="M28" s="104"/>
      <c r="N28" s="104"/>
      <c r="O28" s="104"/>
      <c r="P28" s="104"/>
      <c r="Q28" s="104"/>
      <c r="R28" s="104"/>
      <c r="S28" s="104"/>
      <c r="T28" s="104"/>
      <c r="U28" s="104"/>
      <c r="V28" s="104"/>
      <c r="W28" s="104"/>
      <c r="X28" s="104"/>
      <c r="Y28" s="104"/>
    </row>
    <row r="29" spans="3:25" ht="15">
      <c r="C29" s="19"/>
      <c r="D29" s="104"/>
      <c r="E29" s="104"/>
      <c r="F29" s="104"/>
      <c r="G29" s="104"/>
      <c r="H29" s="104"/>
      <c r="I29" s="104"/>
      <c r="J29" s="104"/>
      <c r="K29" s="104"/>
      <c r="L29" s="104"/>
      <c r="M29" s="104"/>
      <c r="N29" s="104"/>
      <c r="O29" s="104"/>
      <c r="P29" s="104"/>
      <c r="Q29" s="104"/>
      <c r="R29" s="104"/>
      <c r="S29" s="104"/>
      <c r="T29" s="104"/>
      <c r="U29" s="104"/>
      <c r="V29" s="104"/>
      <c r="W29" s="104"/>
      <c r="X29" s="104"/>
      <c r="Y29" s="104"/>
    </row>
    <row r="30" spans="2:25" ht="15">
      <c r="B30" t="s">
        <v>184</v>
      </c>
      <c r="C30" s="19"/>
      <c r="D30" t="s">
        <v>148</v>
      </c>
      <c r="I30" s="104"/>
      <c r="J30" s="104"/>
      <c r="K30" s="104"/>
      <c r="L30" s="104"/>
      <c r="M30" s="104"/>
      <c r="N30" s="104"/>
      <c r="O30" s="104"/>
      <c r="P30" s="104"/>
      <c r="Q30" s="104"/>
      <c r="R30" s="104"/>
      <c r="S30" s="104"/>
      <c r="T30" s="104"/>
      <c r="U30" s="104"/>
      <c r="V30" s="104"/>
      <c r="W30" s="104"/>
      <c r="X30" s="104"/>
      <c r="Y30" s="104"/>
    </row>
    <row r="31" spans="3:25" ht="15">
      <c r="C31" s="19"/>
      <c r="D31" s="108" t="s">
        <v>149</v>
      </c>
      <c r="E31" s="108" t="s">
        <v>150</v>
      </c>
      <c r="F31" s="108" t="s">
        <v>151</v>
      </c>
      <c r="G31" s="108" t="s">
        <v>152</v>
      </c>
      <c r="I31" s="104"/>
      <c r="J31" s="104"/>
      <c r="K31" s="104"/>
      <c r="L31" s="104"/>
      <c r="M31" s="104"/>
      <c r="N31" s="104"/>
      <c r="O31" s="104"/>
      <c r="P31" s="104"/>
      <c r="Q31" s="104"/>
      <c r="R31" s="104"/>
      <c r="S31" s="104"/>
      <c r="T31" s="104"/>
      <c r="U31" s="104"/>
      <c r="V31" s="104"/>
      <c r="W31" s="104"/>
      <c r="X31" s="104"/>
      <c r="Y31" s="104"/>
    </row>
    <row r="32" spans="2:25" ht="15">
      <c r="B32" t="s">
        <v>186</v>
      </c>
      <c r="C32" s="19"/>
      <c r="D32" s="106">
        <f>E32*0.45</f>
        <v>0.2025</v>
      </c>
      <c r="E32" s="106">
        <v>0.45</v>
      </c>
      <c r="F32" s="106">
        <v>0.45</v>
      </c>
      <c r="G32" s="106">
        <v>0.1</v>
      </c>
      <c r="H32" s="104" t="s">
        <v>219</v>
      </c>
      <c r="I32" s="104"/>
      <c r="J32" s="104"/>
      <c r="K32" s="104"/>
      <c r="L32" s="104"/>
      <c r="M32" s="104"/>
      <c r="N32" s="104"/>
      <c r="O32" s="104"/>
      <c r="P32" s="104"/>
      <c r="Q32" s="104"/>
      <c r="R32" s="104"/>
      <c r="S32" s="104"/>
      <c r="T32" s="104"/>
      <c r="U32" s="104"/>
      <c r="V32" s="104"/>
      <c r="W32" s="104"/>
      <c r="X32" s="104"/>
      <c r="Y32" s="104"/>
    </row>
    <row r="33" spans="2:25" ht="15">
      <c r="B33" t="s">
        <v>187</v>
      </c>
      <c r="C33" s="19"/>
      <c r="D33" s="106">
        <f>0.45*E33</f>
        <v>0.225</v>
      </c>
      <c r="E33" s="106">
        <v>0.5</v>
      </c>
      <c r="F33" s="106">
        <v>0.5</v>
      </c>
      <c r="G33" s="106"/>
      <c r="H33" s="104"/>
      <c r="I33" s="104"/>
      <c r="J33" s="104"/>
      <c r="K33" s="104"/>
      <c r="L33" s="104"/>
      <c r="M33" s="104"/>
      <c r="N33" s="104"/>
      <c r="O33" s="104"/>
      <c r="P33" s="104"/>
      <c r="Q33" s="104"/>
      <c r="R33" s="104"/>
      <c r="S33" s="104"/>
      <c r="T33" s="104"/>
      <c r="U33" s="104"/>
      <c r="V33" s="104"/>
      <c r="W33" s="104"/>
      <c r="X33" s="104"/>
      <c r="Y33" s="104"/>
    </row>
    <row r="34" spans="2:25" ht="15">
      <c r="B34" t="s">
        <v>188</v>
      </c>
      <c r="C34" s="19"/>
      <c r="D34" s="106">
        <f>0.45*E34</f>
        <v>0.225</v>
      </c>
      <c r="E34" s="106">
        <v>0.5</v>
      </c>
      <c r="F34" s="106">
        <v>0.5</v>
      </c>
      <c r="G34" s="104"/>
      <c r="H34" s="104"/>
      <c r="I34" s="104"/>
      <c r="J34" s="104"/>
      <c r="K34" s="104"/>
      <c r="L34" s="104"/>
      <c r="M34" s="104"/>
      <c r="N34" s="104"/>
      <c r="O34" s="104"/>
      <c r="P34" s="104"/>
      <c r="Q34" s="104"/>
      <c r="R34" s="104"/>
      <c r="S34" s="104"/>
      <c r="T34" s="104"/>
      <c r="U34" s="104"/>
      <c r="V34" s="104"/>
      <c r="W34" s="104"/>
      <c r="X34" s="104"/>
      <c r="Y34" s="104"/>
    </row>
    <row r="35" spans="2:25" ht="15">
      <c r="B35" t="s">
        <v>189</v>
      </c>
      <c r="C35" s="19"/>
      <c r="D35" s="106">
        <f>0.45*E35</f>
        <v>0.09000000000000001</v>
      </c>
      <c r="E35" s="107">
        <v>0.2</v>
      </c>
      <c r="F35" s="107">
        <v>0.2</v>
      </c>
      <c r="G35" s="106">
        <v>0.6</v>
      </c>
      <c r="H35" s="104"/>
      <c r="I35" s="104"/>
      <c r="J35" s="104"/>
      <c r="K35" s="104"/>
      <c r="L35" s="104"/>
      <c r="M35" s="104"/>
      <c r="N35" s="104"/>
      <c r="O35" s="104"/>
      <c r="P35" s="104"/>
      <c r="Q35" s="104"/>
      <c r="R35" s="104"/>
      <c r="S35" s="104"/>
      <c r="T35" s="104"/>
      <c r="U35" s="104"/>
      <c r="V35" s="104"/>
      <c r="W35" s="104"/>
      <c r="X35" s="104"/>
      <c r="Y35" s="104"/>
    </row>
    <row r="36" spans="2:25" ht="15">
      <c r="B36" t="s">
        <v>190</v>
      </c>
      <c r="C36" s="19"/>
      <c r="D36" s="106">
        <f>E36*0.45</f>
        <v>0.16875</v>
      </c>
      <c r="E36" s="106">
        <f>0.75/2</f>
        <v>0.375</v>
      </c>
      <c r="F36" s="106">
        <f>0.75/2</f>
        <v>0.375</v>
      </c>
      <c r="G36" s="106">
        <v>0.25</v>
      </c>
      <c r="H36" s="104"/>
      <c r="I36" s="104"/>
      <c r="J36" s="104"/>
      <c r="K36" s="104"/>
      <c r="L36" s="104"/>
      <c r="M36" s="104"/>
      <c r="N36" s="104"/>
      <c r="O36" s="104"/>
      <c r="P36" s="104"/>
      <c r="Q36" s="104"/>
      <c r="R36" s="104"/>
      <c r="S36" s="104"/>
      <c r="T36" s="104"/>
      <c r="U36" s="104"/>
      <c r="V36" s="104"/>
      <c r="W36" s="104"/>
      <c r="X36" s="104"/>
      <c r="Y36" s="104"/>
    </row>
    <row r="37" spans="2:25" ht="15">
      <c r="B37" t="s">
        <v>191</v>
      </c>
      <c r="C37" s="19"/>
      <c r="D37" s="104"/>
      <c r="E37" s="104"/>
      <c r="F37" s="104"/>
      <c r="G37" s="107">
        <v>1</v>
      </c>
      <c r="H37" s="104"/>
      <c r="I37" s="104"/>
      <c r="J37" s="104"/>
      <c r="K37" s="104"/>
      <c r="L37" s="104"/>
      <c r="M37" s="104"/>
      <c r="N37" s="104"/>
      <c r="O37" s="104"/>
      <c r="P37" s="104"/>
      <c r="Q37" s="104"/>
      <c r="R37" s="104"/>
      <c r="S37" s="104"/>
      <c r="T37" s="104"/>
      <c r="U37" s="104"/>
      <c r="V37" s="104"/>
      <c r="W37" s="104"/>
      <c r="X37" s="104"/>
      <c r="Y37" s="104"/>
    </row>
    <row r="38" spans="3:25" ht="15">
      <c r="C38" s="19"/>
      <c r="D38" s="104"/>
      <c r="E38" s="104"/>
      <c r="F38" s="104"/>
      <c r="G38" s="104"/>
      <c r="H38" s="104"/>
      <c r="I38" s="104"/>
      <c r="J38" s="104"/>
      <c r="K38" s="104"/>
      <c r="L38" s="104"/>
      <c r="M38" s="104"/>
      <c r="N38" s="104"/>
      <c r="O38" s="104"/>
      <c r="P38" s="104"/>
      <c r="Q38" s="104"/>
      <c r="R38" s="104"/>
      <c r="S38" s="104"/>
      <c r="T38" s="104"/>
      <c r="U38" s="104"/>
      <c r="V38" s="104"/>
      <c r="W38" s="104"/>
      <c r="X38" s="104"/>
      <c r="Y38" s="104"/>
    </row>
    <row r="39" spans="2:25" ht="15">
      <c r="B39" t="s">
        <v>133</v>
      </c>
      <c r="C39" s="19"/>
      <c r="D39" s="105">
        <f>$C20*D32</f>
        <v>188173354.38969693</v>
      </c>
      <c r="E39" s="105">
        <f>$C20*E32</f>
        <v>418163009.75488204</v>
      </c>
      <c r="F39" s="105">
        <f>$C20*F32</f>
        <v>418163009.75488204</v>
      </c>
      <c r="G39" s="105">
        <f>$C20*G32</f>
        <v>92925113.27886268</v>
      </c>
      <c r="H39" s="104"/>
      <c r="I39" s="104"/>
      <c r="J39" s="104"/>
      <c r="K39" s="104"/>
      <c r="L39" s="104"/>
      <c r="M39" s="104"/>
      <c r="N39" s="104"/>
      <c r="O39" s="104"/>
      <c r="P39" s="104"/>
      <c r="Q39" s="104"/>
      <c r="R39" s="104"/>
      <c r="S39" s="104"/>
      <c r="T39" s="104"/>
      <c r="U39" s="104"/>
      <c r="V39" s="104"/>
      <c r="W39" s="104"/>
      <c r="X39" s="104"/>
      <c r="Y39" s="104"/>
    </row>
    <row r="40" spans="2:25" ht="15">
      <c r="B40" t="s">
        <v>136</v>
      </c>
      <c r="C40" s="19"/>
      <c r="D40" s="105">
        <f>$C21*D33</f>
        <v>22591103.89804186</v>
      </c>
      <c r="E40" s="105">
        <f>$C21*E33</f>
        <v>50202453.10675969</v>
      </c>
      <c r="F40" s="105">
        <f>$C21*F33</f>
        <v>50202453.10675969</v>
      </c>
      <c r="G40" s="105">
        <f>$C21*G33</f>
        <v>0</v>
      </c>
      <c r="H40" s="104"/>
      <c r="I40" s="104"/>
      <c r="J40" s="104"/>
      <c r="K40" s="104"/>
      <c r="L40" s="104"/>
      <c r="M40" s="104"/>
      <c r="N40" s="104"/>
      <c r="O40" s="104"/>
      <c r="P40" s="104"/>
      <c r="Q40" s="104"/>
      <c r="R40" s="104"/>
      <c r="S40" s="104"/>
      <c r="T40" s="104"/>
      <c r="U40" s="104"/>
      <c r="V40" s="104"/>
      <c r="W40" s="104"/>
      <c r="X40" s="104"/>
      <c r="Y40" s="104"/>
    </row>
    <row r="41" spans="2:25" ht="15">
      <c r="B41" t="s">
        <v>138</v>
      </c>
      <c r="C41" s="19"/>
      <c r="D41" s="105">
        <f>$C22*D34</f>
        <v>316275454.57258606</v>
      </c>
      <c r="E41" s="105">
        <f>$C22*E34</f>
        <v>702834343.4946357</v>
      </c>
      <c r="F41" s="105">
        <f>$C22*F34</f>
        <v>702834343.4946357</v>
      </c>
      <c r="G41" s="105">
        <f>$C22*G34</f>
        <v>0</v>
      </c>
      <c r="H41" s="104"/>
      <c r="I41" s="104"/>
      <c r="J41" s="104"/>
      <c r="K41" s="104"/>
      <c r="L41" s="104"/>
      <c r="M41" s="104"/>
      <c r="N41" s="104"/>
      <c r="O41" s="104"/>
      <c r="P41" s="104"/>
      <c r="Q41" s="104"/>
      <c r="R41" s="104"/>
      <c r="S41" s="104"/>
      <c r="T41" s="104"/>
      <c r="U41" s="104"/>
      <c r="V41" s="104"/>
      <c r="W41" s="104"/>
      <c r="X41" s="104"/>
      <c r="Y41" s="104"/>
    </row>
    <row r="42" spans="2:25" ht="15">
      <c r="B42" t="s">
        <v>176</v>
      </c>
      <c r="C42" s="19"/>
      <c r="D42" s="105">
        <f>$C23*D35</f>
        <v>67773311.69412561</v>
      </c>
      <c r="E42" s="105">
        <f>$C23*E35</f>
        <v>150607359.3202791</v>
      </c>
      <c r="F42" s="105">
        <f>$C23*F35</f>
        <v>150607359.3202791</v>
      </c>
      <c r="G42" s="105">
        <f>$C23*G35</f>
        <v>451822077.9608373</v>
      </c>
      <c r="H42" s="104"/>
      <c r="I42" s="105"/>
      <c r="J42" s="104"/>
      <c r="K42" s="104"/>
      <c r="L42" s="104"/>
      <c r="M42" s="104"/>
      <c r="N42" s="104"/>
      <c r="O42" s="104"/>
      <c r="P42" s="104"/>
      <c r="Q42" s="104"/>
      <c r="R42" s="104"/>
      <c r="S42" s="104"/>
      <c r="T42" s="104"/>
      <c r="U42" s="104"/>
      <c r="V42" s="104"/>
      <c r="W42" s="104"/>
      <c r="X42" s="104"/>
      <c r="Y42" s="104"/>
    </row>
    <row r="43" spans="2:25" ht="15">
      <c r="B43" t="s">
        <v>140</v>
      </c>
      <c r="C43" s="19"/>
      <c r="D43" s="105">
        <f>$C24*D36</f>
        <v>261397342.1236069</v>
      </c>
      <c r="E43" s="105">
        <f>$C24*E36</f>
        <v>580882982.4969041</v>
      </c>
      <c r="F43" s="105">
        <f>$C24*F36</f>
        <v>580882982.4969041</v>
      </c>
      <c r="G43" s="105">
        <f>$C24*G36</f>
        <v>387255321.66460276</v>
      </c>
      <c r="H43" s="104"/>
      <c r="I43" s="104"/>
      <c r="J43" s="104"/>
      <c r="K43" s="104"/>
      <c r="L43" s="104"/>
      <c r="M43" s="104"/>
      <c r="N43" s="104"/>
      <c r="O43" s="104"/>
      <c r="P43" s="104"/>
      <c r="Q43" s="104"/>
      <c r="R43" s="104"/>
      <c r="S43" s="104"/>
      <c r="T43" s="104"/>
      <c r="U43" s="104"/>
      <c r="V43" s="104"/>
      <c r="W43" s="104"/>
      <c r="X43" s="104"/>
      <c r="Y43" s="104"/>
    </row>
    <row r="44" spans="2:25" ht="15">
      <c r="B44" t="s">
        <v>180</v>
      </c>
      <c r="C44" s="19"/>
      <c r="D44" s="109">
        <f>$C27*D37</f>
        <v>0</v>
      </c>
      <c r="E44" s="109">
        <f>$C27*E37</f>
        <v>0</v>
      </c>
      <c r="F44" s="109">
        <f>$C27*F37</f>
        <v>0</v>
      </c>
      <c r="G44" s="109">
        <f>$C27*G37</f>
        <v>1387169622.6015837</v>
      </c>
      <c r="H44" s="104"/>
      <c r="I44" s="104"/>
      <c r="J44" s="104"/>
      <c r="K44" s="104"/>
      <c r="L44" s="104"/>
      <c r="M44" s="104"/>
      <c r="N44" s="104"/>
      <c r="O44" s="104"/>
      <c r="P44" s="104"/>
      <c r="Q44" s="104"/>
      <c r="R44" s="104"/>
      <c r="S44" s="104"/>
      <c r="T44" s="104"/>
      <c r="U44" s="104"/>
      <c r="V44" s="104"/>
      <c r="W44" s="104"/>
      <c r="X44" s="104"/>
      <c r="Y44" s="104"/>
    </row>
    <row r="45" spans="2:25" ht="15">
      <c r="B45" t="s">
        <v>192</v>
      </c>
      <c r="C45" s="19"/>
      <c r="D45" s="105">
        <f>SUM(D39:D44)</f>
        <v>856210566.6780574</v>
      </c>
      <c r="E45" s="105">
        <f>SUM(E39:E44)</f>
        <v>1902690148.1734607</v>
      </c>
      <c r="F45" s="105">
        <f>SUM(F39:F44)</f>
        <v>1902690148.1734607</v>
      </c>
      <c r="G45" s="105">
        <f>SUM(G39:G44)</f>
        <v>2319172135.5058866</v>
      </c>
      <c r="H45" s="104"/>
      <c r="I45" s="105"/>
      <c r="J45" s="105"/>
      <c r="K45" s="104"/>
      <c r="L45" s="104"/>
      <c r="M45" s="104"/>
      <c r="N45" s="104"/>
      <c r="O45" s="104"/>
      <c r="P45" s="104"/>
      <c r="Q45" s="104"/>
      <c r="R45" s="104"/>
      <c r="S45" s="104"/>
      <c r="T45" s="104"/>
      <c r="U45" s="104"/>
      <c r="V45" s="104"/>
      <c r="W45" s="104"/>
      <c r="X45" s="104"/>
      <c r="Y45" s="104"/>
    </row>
    <row r="46" spans="3:25" ht="15">
      <c r="C46" s="19"/>
      <c r="D46" s="105"/>
      <c r="E46" s="105"/>
      <c r="F46" s="105"/>
      <c r="G46" s="105"/>
      <c r="H46" s="104"/>
      <c r="I46" s="105"/>
      <c r="J46" s="105"/>
      <c r="K46" s="104"/>
      <c r="L46" s="104"/>
      <c r="M46" s="104"/>
      <c r="N46" s="104"/>
      <c r="O46" s="104"/>
      <c r="P46" s="104"/>
      <c r="Q46" s="104"/>
      <c r="R46" s="104"/>
      <c r="S46" s="104"/>
      <c r="T46" s="104"/>
      <c r="U46" s="104"/>
      <c r="V46" s="104"/>
      <c r="W46" s="104"/>
      <c r="X46" s="104"/>
      <c r="Y46" s="104"/>
    </row>
    <row r="47" spans="2:25" ht="15">
      <c r="B47" t="s">
        <v>233</v>
      </c>
      <c r="D47" s="105"/>
      <c r="E47" s="105"/>
      <c r="F47" s="105"/>
      <c r="G47" s="105"/>
      <c r="H47" s="104"/>
      <c r="I47" s="105"/>
      <c r="J47" s="105"/>
      <c r="K47" s="104"/>
      <c r="L47" s="104"/>
      <c r="M47" s="104"/>
      <c r="N47" s="104"/>
      <c r="O47" s="104"/>
      <c r="P47" s="104"/>
      <c r="Q47" s="104"/>
      <c r="R47" s="104"/>
      <c r="S47" s="104"/>
      <c r="T47" s="104"/>
      <c r="U47" s="104"/>
      <c r="V47" s="104"/>
      <c r="W47" s="104"/>
      <c r="X47" s="104"/>
      <c r="Y47" s="104"/>
    </row>
    <row r="48" spans="2:25" ht="15">
      <c r="B48" t="s">
        <v>231</v>
      </c>
      <c r="C48" s="311">
        <f>NPV(0.1,'Aggregate Cost-Benefit Summary'!F21:Y21)</f>
        <v>3203583652.963788</v>
      </c>
      <c r="D48" s="105"/>
      <c r="E48" s="105"/>
      <c r="F48" s="105"/>
      <c r="G48" s="105"/>
      <c r="H48" s="104"/>
      <c r="I48" s="105"/>
      <c r="J48" s="105"/>
      <c r="K48" s="104"/>
      <c r="L48" s="104"/>
      <c r="M48" s="104"/>
      <c r="N48" s="104"/>
      <c r="O48" s="104"/>
      <c r="P48" s="104"/>
      <c r="Q48" s="104"/>
      <c r="R48" s="104"/>
      <c r="S48" s="104"/>
      <c r="T48" s="104"/>
      <c r="U48" s="104"/>
      <c r="V48" s="104"/>
      <c r="W48" s="104"/>
      <c r="X48" s="104"/>
      <c r="Y48" s="104"/>
    </row>
    <row r="49" spans="2:25" ht="15">
      <c r="B49" t="s">
        <v>232</v>
      </c>
      <c r="C49" s="312">
        <f>NPV(0.1,'Aggregate Cost-Benefit Summary'!F26:Y26)</f>
        <v>442202380.36019826</v>
      </c>
      <c r="D49" s="105"/>
      <c r="E49" s="105"/>
      <c r="F49" s="105"/>
      <c r="G49" s="105"/>
      <c r="H49" s="104"/>
      <c r="I49" s="105"/>
      <c r="J49" s="105"/>
      <c r="K49" s="104"/>
      <c r="L49" s="104"/>
      <c r="M49" s="104"/>
      <c r="N49" s="104"/>
      <c r="O49" s="104"/>
      <c r="P49" s="104"/>
      <c r="Q49" s="104"/>
      <c r="R49" s="104"/>
      <c r="S49" s="104"/>
      <c r="T49" s="104"/>
      <c r="U49" s="104"/>
      <c r="V49" s="104"/>
      <c r="W49" s="104"/>
      <c r="X49" s="104"/>
      <c r="Y49" s="104"/>
    </row>
    <row r="50" spans="2:25" ht="15">
      <c r="B50" t="s">
        <v>236</v>
      </c>
      <c r="C50" s="105">
        <f>SUM(C48:C49)</f>
        <v>3645786033.323986</v>
      </c>
      <c r="D50" s="105"/>
      <c r="E50" s="105"/>
      <c r="F50" s="105"/>
      <c r="G50" s="105"/>
      <c r="H50" s="104"/>
      <c r="I50" s="105"/>
      <c r="J50" s="105"/>
      <c r="K50" s="104"/>
      <c r="L50" s="104"/>
      <c r="M50" s="104"/>
      <c r="N50" s="104"/>
      <c r="O50" s="104"/>
      <c r="P50" s="104"/>
      <c r="Q50" s="104"/>
      <c r="R50" s="104"/>
      <c r="S50" s="104"/>
      <c r="T50" s="104"/>
      <c r="U50" s="104"/>
      <c r="V50" s="104"/>
      <c r="W50" s="104"/>
      <c r="X50" s="104"/>
      <c r="Y50" s="104"/>
    </row>
    <row r="51" spans="3:25" ht="15">
      <c r="C51" s="105"/>
      <c r="D51" s="105"/>
      <c r="E51" s="105"/>
      <c r="F51" s="105"/>
      <c r="G51" s="105"/>
      <c r="H51" s="104"/>
      <c r="I51" s="105"/>
      <c r="J51" s="105"/>
      <c r="K51" s="104"/>
      <c r="L51" s="104"/>
      <c r="M51" s="104"/>
      <c r="N51" s="104"/>
      <c r="O51" s="104"/>
      <c r="P51" s="104"/>
      <c r="Q51" s="104"/>
      <c r="R51" s="104"/>
      <c r="S51" s="104"/>
      <c r="T51" s="104"/>
      <c r="U51" s="104"/>
      <c r="V51" s="104"/>
      <c r="W51" s="104"/>
      <c r="X51" s="104"/>
      <c r="Y51" s="104"/>
    </row>
    <row r="52" spans="2:25" ht="15">
      <c r="B52" t="s">
        <v>240</v>
      </c>
      <c r="C52" s="105">
        <f>C28-C50</f>
        <v>5946082493.102356</v>
      </c>
      <c r="D52" s="105"/>
      <c r="E52" s="105"/>
      <c r="F52" s="105"/>
      <c r="G52" s="105"/>
      <c r="H52" s="104"/>
      <c r="I52" s="105"/>
      <c r="J52" s="105"/>
      <c r="K52" s="104"/>
      <c r="L52" s="104"/>
      <c r="M52" s="104"/>
      <c r="N52" s="104"/>
      <c r="O52" s="104"/>
      <c r="P52" s="104"/>
      <c r="Q52" s="104"/>
      <c r="R52" s="104"/>
      <c r="S52" s="104"/>
      <c r="T52" s="104"/>
      <c r="U52" s="104"/>
      <c r="V52" s="104"/>
      <c r="W52" s="104"/>
      <c r="X52" s="104"/>
      <c r="Y52" s="104"/>
    </row>
    <row r="53" spans="2:25" ht="15">
      <c r="B53" t="s">
        <v>243</v>
      </c>
      <c r="C53" s="313">
        <f>C52/[0]!exrate</f>
        <v>77221850.55977085</v>
      </c>
      <c r="D53" s="105"/>
      <c r="E53" s="105"/>
      <c r="F53" s="105">
        <f>80000000</f>
        <v>80000000</v>
      </c>
      <c r="G53" s="105">
        <f>'Aggregate Cost-Benefit Summary'!C89</f>
        <v>0</v>
      </c>
      <c r="H53" s="105">
        <f>F53-G53</f>
        <v>80000000</v>
      </c>
      <c r="I53" s="105"/>
      <c r="J53" s="105"/>
      <c r="K53" s="104"/>
      <c r="L53" s="104"/>
      <c r="M53" s="104"/>
      <c r="N53" s="104"/>
      <c r="O53" s="104"/>
      <c r="P53" s="104"/>
      <c r="Q53" s="104"/>
      <c r="R53" s="104"/>
      <c r="S53" s="104"/>
      <c r="T53" s="104"/>
      <c r="U53" s="104"/>
      <c r="V53" s="104"/>
      <c r="W53" s="104"/>
      <c r="X53" s="104"/>
      <c r="Y53" s="104"/>
    </row>
    <row r="54" spans="3:25" ht="15">
      <c r="C54" s="105"/>
      <c r="D54" s="105"/>
      <c r="E54" s="105"/>
      <c r="F54" s="105"/>
      <c r="G54" s="105"/>
      <c r="H54" s="104"/>
      <c r="I54" s="105"/>
      <c r="J54" s="105"/>
      <c r="K54" s="104"/>
      <c r="L54" s="104"/>
      <c r="M54" s="104"/>
      <c r="N54" s="104"/>
      <c r="O54" s="104"/>
      <c r="P54" s="104"/>
      <c r="Q54" s="104"/>
      <c r="R54" s="104"/>
      <c r="S54" s="104"/>
      <c r="T54" s="104"/>
      <c r="U54" s="104"/>
      <c r="V54" s="104"/>
      <c r="W54" s="104"/>
      <c r="X54" s="104"/>
      <c r="Y54" s="104"/>
    </row>
    <row r="55" spans="3:25" ht="15">
      <c r="C55" s="19"/>
      <c r="D55" t="s">
        <v>148</v>
      </c>
      <c r="H55" s="104"/>
      <c r="I55" s="105"/>
      <c r="J55" s="105"/>
      <c r="K55" s="104"/>
      <c r="L55" s="104"/>
      <c r="M55" s="104"/>
      <c r="N55" s="104"/>
      <c r="O55" s="104"/>
      <c r="P55" s="104"/>
      <c r="Q55" s="104"/>
      <c r="R55" s="104"/>
      <c r="S55" s="104"/>
      <c r="T55" s="104"/>
      <c r="U55" s="104"/>
      <c r="V55" s="104"/>
      <c r="W55" s="104"/>
      <c r="X55" s="104"/>
      <c r="Y55" s="104"/>
    </row>
    <row r="56" spans="2:25" ht="15">
      <c r="B56" t="s">
        <v>234</v>
      </c>
      <c r="C56" s="19"/>
      <c r="D56" s="108" t="s">
        <v>149</v>
      </c>
      <c r="E56" s="108" t="s">
        <v>150</v>
      </c>
      <c r="F56" s="108" t="s">
        <v>151</v>
      </c>
      <c r="G56" s="108" t="s">
        <v>152</v>
      </c>
      <c r="H56" s="104"/>
      <c r="I56" s="105"/>
      <c r="J56" s="110"/>
      <c r="K56" s="104"/>
      <c r="L56" s="104"/>
      <c r="M56" s="104"/>
      <c r="N56" s="104"/>
      <c r="O56" s="104"/>
      <c r="P56" s="104"/>
      <c r="Q56" s="104"/>
      <c r="R56" s="104"/>
      <c r="S56" s="104"/>
      <c r="T56" s="104"/>
      <c r="U56" s="104"/>
      <c r="V56" s="104"/>
      <c r="W56" s="104"/>
      <c r="X56" s="104"/>
      <c r="Y56" s="104"/>
    </row>
    <row r="57" spans="2:25" ht="15">
      <c r="B57" t="s">
        <v>231</v>
      </c>
      <c r="C57" s="19"/>
      <c r="D57" s="105">
        <f>$C48*J91</f>
        <v>523963101.1447921</v>
      </c>
      <c r="E57" s="105">
        <f>$C48*K91</f>
        <v>1164362446.9884267</v>
      </c>
      <c r="F57" s="105">
        <f>$C48*L91</f>
        <v>1164362446.9884267</v>
      </c>
      <c r="G57" s="105">
        <f>$C48*M91</f>
        <v>874858758.9869348</v>
      </c>
      <c r="H57" s="104"/>
      <c r="I57" s="105"/>
      <c r="J57" s="110"/>
      <c r="K57" s="104"/>
      <c r="L57" s="104"/>
      <c r="M57" s="104"/>
      <c r="N57" s="104"/>
      <c r="O57" s="104"/>
      <c r="P57" s="104"/>
      <c r="Q57" s="104"/>
      <c r="R57" s="104"/>
      <c r="S57" s="104"/>
      <c r="T57" s="104"/>
      <c r="U57" s="104"/>
      <c r="V57" s="104"/>
      <c r="W57" s="104"/>
      <c r="X57" s="104"/>
      <c r="Y57" s="104"/>
    </row>
    <row r="58" spans="2:25" ht="15">
      <c r="B58" t="s">
        <v>232</v>
      </c>
      <c r="C58" s="19"/>
      <c r="D58" s="15">
        <f>$C49*J91</f>
        <v>72324545.14892524</v>
      </c>
      <c r="E58" s="15">
        <f>$C49*K91</f>
        <v>160721211.4420561</v>
      </c>
      <c r="F58" s="15">
        <f>$C49*L91</f>
        <v>160721211.4420561</v>
      </c>
      <c r="G58" s="15">
        <f>$C49*M91</f>
        <v>120759957.47608608</v>
      </c>
      <c r="H58" s="104"/>
      <c r="I58" s="105"/>
      <c r="J58" s="105"/>
      <c r="K58" s="104"/>
      <c r="L58" s="104"/>
      <c r="M58" s="104"/>
      <c r="N58" s="104"/>
      <c r="O58" s="104"/>
      <c r="P58" s="104"/>
      <c r="Q58" s="104"/>
      <c r="R58" s="104"/>
      <c r="S58" s="104"/>
      <c r="T58" s="104"/>
      <c r="U58" s="104"/>
      <c r="V58" s="104"/>
      <c r="W58" s="104"/>
      <c r="X58" s="104"/>
      <c r="Y58" s="104"/>
    </row>
    <row r="59" spans="2:25" ht="15">
      <c r="B59" t="s">
        <v>7</v>
      </c>
      <c r="C59" s="19"/>
      <c r="D59" s="105">
        <f>D57+D58</f>
        <v>596287646.2937174</v>
      </c>
      <c r="E59" s="105">
        <f>E57+E58</f>
        <v>1325083658.4304829</v>
      </c>
      <c r="F59" s="105">
        <f>F57+F58</f>
        <v>1325083658.4304829</v>
      </c>
      <c r="G59" s="105">
        <f>G57+G58</f>
        <v>995618716.4630208</v>
      </c>
      <c r="H59" s="104"/>
      <c r="I59" s="105"/>
      <c r="J59" s="105"/>
      <c r="K59" s="104"/>
      <c r="L59" s="104"/>
      <c r="M59" s="104"/>
      <c r="N59" s="104"/>
      <c r="O59" s="104"/>
      <c r="P59" s="104"/>
      <c r="Q59" s="104"/>
      <c r="R59" s="104"/>
      <c r="S59" s="104"/>
      <c r="T59" s="104"/>
      <c r="U59" s="104"/>
      <c r="V59" s="104"/>
      <c r="W59" s="104"/>
      <c r="X59" s="104"/>
      <c r="Y59" s="104"/>
    </row>
    <row r="60" spans="3:25" ht="15">
      <c r="C60" s="19"/>
      <c r="D60" s="105"/>
      <c r="E60" s="105"/>
      <c r="F60" s="105"/>
      <c r="G60" s="105"/>
      <c r="H60" s="104"/>
      <c r="I60" s="105"/>
      <c r="J60" s="105"/>
      <c r="K60" s="104"/>
      <c r="L60" s="104"/>
      <c r="M60" s="104"/>
      <c r="N60" s="104"/>
      <c r="O60" s="104"/>
      <c r="P60" s="104"/>
      <c r="Q60" s="104"/>
      <c r="R60" s="104"/>
      <c r="S60" s="104"/>
      <c r="T60" s="104"/>
      <c r="U60" s="104"/>
      <c r="V60" s="104"/>
      <c r="W60" s="104"/>
      <c r="X60" s="104"/>
      <c r="Y60" s="104"/>
    </row>
    <row r="61" spans="3:25" ht="15">
      <c r="C61" s="19"/>
      <c r="D61" s="9" t="s">
        <v>28</v>
      </c>
      <c r="E61">
        <v>0</v>
      </c>
      <c r="F61">
        <v>1</v>
      </c>
      <c r="G61">
        <v>2</v>
      </c>
      <c r="H61">
        <v>3</v>
      </c>
      <c r="I61">
        <v>4</v>
      </c>
      <c r="J61">
        <v>5</v>
      </c>
      <c r="K61">
        <v>6</v>
      </c>
      <c r="L61">
        <v>7</v>
      </c>
      <c r="M61">
        <v>8</v>
      </c>
      <c r="N61">
        <v>9</v>
      </c>
      <c r="O61">
        <v>10</v>
      </c>
      <c r="P61">
        <v>11</v>
      </c>
      <c r="Q61">
        <v>12</v>
      </c>
      <c r="R61">
        <v>13</v>
      </c>
      <c r="S61">
        <v>14</v>
      </c>
      <c r="T61">
        <v>15</v>
      </c>
      <c r="U61">
        <v>16</v>
      </c>
      <c r="V61">
        <v>17</v>
      </c>
      <c r="W61">
        <v>18</v>
      </c>
      <c r="X61">
        <v>19</v>
      </c>
      <c r="Y61">
        <v>20</v>
      </c>
    </row>
    <row r="62" spans="2:25" ht="15">
      <c r="B62" t="s">
        <v>195</v>
      </c>
      <c r="C62" s="19"/>
      <c r="D62" s="8">
        <v>2010</v>
      </c>
      <c r="E62" s="8">
        <v>2011</v>
      </c>
      <c r="F62" s="8">
        <v>2012</v>
      </c>
      <c r="G62" s="8">
        <v>2013</v>
      </c>
      <c r="H62" s="8">
        <v>2014</v>
      </c>
      <c r="I62" s="8">
        <v>2015</v>
      </c>
      <c r="J62" s="8">
        <v>2016</v>
      </c>
      <c r="K62" s="8">
        <v>2017</v>
      </c>
      <c r="L62" s="8">
        <v>2018</v>
      </c>
      <c r="M62" s="8">
        <v>2019</v>
      </c>
      <c r="N62" s="8">
        <v>2020</v>
      </c>
      <c r="O62" s="8">
        <v>2021</v>
      </c>
      <c r="P62" s="8">
        <v>2022</v>
      </c>
      <c r="Q62" s="8">
        <v>2023</v>
      </c>
      <c r="R62" s="8">
        <v>2024</v>
      </c>
      <c r="S62" s="8">
        <v>2025</v>
      </c>
      <c r="T62" s="8">
        <v>2026</v>
      </c>
      <c r="U62" s="8">
        <v>2027</v>
      </c>
      <c r="V62" s="8">
        <v>2028</v>
      </c>
      <c r="W62" s="8">
        <v>2029</v>
      </c>
      <c r="X62" s="8">
        <v>2030</v>
      </c>
      <c r="Y62" s="8">
        <v>2031</v>
      </c>
    </row>
    <row r="63" spans="2:25" ht="15">
      <c r="B63" t="s">
        <v>193</v>
      </c>
      <c r="C63" s="19"/>
      <c r="D63" s="110">
        <f>AnalysisSVic!E75+AnalysisSal!E76+AnalysisBV!E76</f>
        <v>0</v>
      </c>
      <c r="E63" s="110">
        <f>AnalysisSVic!F75+AnalysisSal!F76+AnalysisBV!F76</f>
        <v>0</v>
      </c>
      <c r="F63" s="110">
        <f>AnalysisSVic!G75+AnalysisSal!G76+AnalysisBV!G76</f>
        <v>0</v>
      </c>
      <c r="G63" s="110">
        <f>AnalysisSVic!H75+AnalysisSal!H76+AnalysisBV!H76</f>
        <v>0</v>
      </c>
      <c r="H63" s="110">
        <f>AnalysisSVic!I75+AnalysisSal!I76+AnalysisBV!I76</f>
        <v>0</v>
      </c>
      <c r="I63" s="110">
        <f>AnalysisSVic!J75+AnalysisSal!J76+AnalysisBV!J76</f>
        <v>0</v>
      </c>
      <c r="J63" s="110">
        <f>AnalysisSVic!K75+AnalysisSal!K76+AnalysisBV!K76</f>
        <v>336.6527435968749</v>
      </c>
      <c r="K63" s="110">
        <f>AnalysisSVic!L75+AnalysisSal!L76+AnalysisBV!L76</f>
        <v>369.5164638051412</v>
      </c>
      <c r="L63" s="110">
        <f>AnalysisSVic!M75+AnalysisSal!M76+AnalysisBV!M76</f>
        <v>404.0233700238217</v>
      </c>
      <c r="M63" s="110">
        <f>AnalysisSVic!N75+AnalysisSal!N76+AnalysisBV!N76</f>
        <v>440.25562155343476</v>
      </c>
      <c r="N63" s="110">
        <f>AnalysisSVic!O75+AnalysisSal!O76+AnalysisBV!O76</f>
        <v>478.29948565953</v>
      </c>
      <c r="O63" s="110">
        <f>AnalysisSVic!P75+AnalysisSal!P76+AnalysisBV!P76</f>
        <v>518.245542970928</v>
      </c>
      <c r="P63" s="110">
        <f>AnalysisSVic!Q75+AnalysisSal!Q76+AnalysisBV!Q76</f>
        <v>560.1889031478985</v>
      </c>
      <c r="Q63" s="110">
        <f>AnalysisSVic!R75+AnalysisSal!R76+AnalysisBV!R76</f>
        <v>604.2294313337142</v>
      </c>
      <c r="R63" s="110">
        <f>AnalysisSVic!S75+AnalysisSal!S76+AnalysisBV!S76</f>
        <v>650.4719859288241</v>
      </c>
      <c r="S63" s="110">
        <f>AnalysisSVic!T75+AnalysisSal!T76+AnalysisBV!T76</f>
        <v>699.026668253686</v>
      </c>
      <c r="T63" s="110">
        <f>AnalysisSVic!U75+AnalysisSal!U76+AnalysisBV!U76</f>
        <v>750.0090846947926</v>
      </c>
      <c r="U63" s="110">
        <f>AnalysisSVic!V75+AnalysisSal!V76+AnalysisBV!V76</f>
        <v>803.5406219579572</v>
      </c>
      <c r="V63" s="110">
        <f>AnalysisSVic!W75+AnalysisSal!W76+AnalysisBV!W76</f>
        <v>859.7487360842779</v>
      </c>
      <c r="W63" s="110">
        <f>AnalysisSVic!X75+AnalysisSal!X76+AnalysisBV!X76</f>
        <v>918.7672559169146</v>
      </c>
      <c r="X63" s="110">
        <f>AnalysisSVic!Y75+AnalysisSal!Y76+AnalysisBV!Y76</f>
        <v>637.6873838813256</v>
      </c>
      <c r="Y63" s="110">
        <f>AnalysisSVic!Z75+AnalysisSal!Z76+AnalysisBV!Z76</f>
        <v>429.47585892852214</v>
      </c>
    </row>
    <row r="64" spans="2:25" ht="15">
      <c r="B64" t="s">
        <v>187</v>
      </c>
      <c r="C64" s="19"/>
      <c r="D64" s="110">
        <f>AnalysisSVic!E76+AnalysisSal!E77+AnalysisBV!E77</f>
        <v>0</v>
      </c>
      <c r="E64" s="110">
        <f>AnalysisSVic!F76+AnalysisSal!F77+AnalysisBV!F77</f>
        <v>0</v>
      </c>
      <c r="F64" s="110">
        <f>AnalysisSVic!G76+AnalysisSal!G77+AnalysisBV!G77</f>
        <v>0</v>
      </c>
      <c r="G64" s="110">
        <f>AnalysisSVic!H76+AnalysisSal!H77+AnalysisBV!H77</f>
        <v>0</v>
      </c>
      <c r="H64" s="110">
        <f>AnalysisSVic!I76+AnalysisSal!I77+AnalysisBV!I77</f>
        <v>0</v>
      </c>
      <c r="I64" s="110">
        <f>AnalysisSVic!J76+AnalysisSal!J77+AnalysisBV!J77</f>
        <v>0</v>
      </c>
      <c r="J64" s="110">
        <f>AnalysisSVic!K76+AnalysisSal!K77+AnalysisBV!K77</f>
        <v>36.375083069236275</v>
      </c>
      <c r="K64" s="110">
        <f>AnalysisSVic!L76+AnalysisSal!L77+AnalysisBV!L77</f>
        <v>39.92598403551885</v>
      </c>
      <c r="L64" s="110">
        <f>AnalysisSVic!M76+AnalysisSal!M77+AnalysisBV!M77</f>
        <v>43.654430050115664</v>
      </c>
      <c r="M64" s="110">
        <f>AnalysisSVic!N76+AnalysisSal!N77+AnalysisBV!N77</f>
        <v>47.56929836544215</v>
      </c>
      <c r="N64" s="110">
        <f>AnalysisSVic!O76+AnalysisSal!O77+AnalysisBV!O77</f>
        <v>51.67991009653514</v>
      </c>
      <c r="O64" s="110">
        <f>AnalysisSVic!P76+AnalysisSal!P77+AnalysisBV!P77</f>
        <v>55.99605241418256</v>
      </c>
      <c r="P64" s="110">
        <f>AnalysisSVic!Q76+AnalysisSal!Q77+AnalysisBV!Q77</f>
        <v>60.5280018477126</v>
      </c>
      <c r="Q64" s="110">
        <f>AnalysisSVic!R76+AnalysisSal!R77+AnalysisBV!R77</f>
        <v>65.2865487529188</v>
      </c>
      <c r="R64" s="110">
        <f>AnalysisSVic!S76+AnalysisSal!S77+AnalysisBV!S77</f>
        <v>70.28302300338571</v>
      </c>
      <c r="S64" s="110">
        <f>AnalysisSVic!T76+AnalysisSal!T77+AnalysisBV!T77</f>
        <v>75.52932096637555</v>
      </c>
      <c r="T64" s="110">
        <f>AnalysisSVic!U76+AnalysisSal!U77+AnalysisBV!U77</f>
        <v>81.03793382751506</v>
      </c>
      <c r="U64" s="110">
        <f>AnalysisSVic!V76+AnalysisSal!V77+AnalysisBV!V77</f>
        <v>86.82197733171185</v>
      </c>
      <c r="V64" s="110">
        <f>AnalysisSVic!W76+AnalysisSal!W77+AnalysisBV!W77</f>
        <v>92.89522301111825</v>
      </c>
      <c r="W64" s="110">
        <f>AnalysisSVic!X76+AnalysisSal!X77+AnalysisBV!X77</f>
        <v>99.27213097449493</v>
      </c>
      <c r="X64" s="110">
        <f>AnalysisSVic!Y76+AnalysisSal!Y77+AnalysisBV!Y77</f>
        <v>68.90165608946637</v>
      </c>
      <c r="Y64" s="110">
        <f>AnalysisSVic!Z76+AnalysisSal!Z77+AnalysisBV!Z77</f>
        <v>46.40455288688641</v>
      </c>
    </row>
    <row r="65" spans="2:25" ht="15">
      <c r="B65" t="s">
        <v>194</v>
      </c>
      <c r="C65" s="19"/>
      <c r="D65" s="110">
        <f>AnalysisSVic!E77+AnalysisSal!E78+AnalysisBV!E78</f>
        <v>0</v>
      </c>
      <c r="E65" s="110">
        <f>AnalysisSVic!F77+AnalysisSal!F78+AnalysisBV!F78</f>
        <v>0</v>
      </c>
      <c r="F65" s="110">
        <f>AnalysisSVic!G77+AnalysisSal!G78+AnalysisBV!G78</f>
        <v>0</v>
      </c>
      <c r="G65" s="110">
        <f>AnalysisSVic!H77+AnalysisSal!H78+AnalysisBV!H78</f>
        <v>0</v>
      </c>
      <c r="H65" s="110">
        <f>AnalysisSVic!I77+AnalysisSal!I78+AnalysisBV!I78</f>
        <v>0</v>
      </c>
      <c r="I65" s="110">
        <f>AnalysisSVic!J77+AnalysisSal!J78+AnalysisBV!J78</f>
        <v>0</v>
      </c>
      <c r="J65" s="110">
        <f>AnalysisSVic!K77+AnalysisSal!K78+AnalysisBV!K78</f>
        <v>509.2511629693078</v>
      </c>
      <c r="K65" s="110">
        <f>AnalysisSVic!L77+AnalysisSal!L78+AnalysisBV!L78</f>
        <v>558.9637764972639</v>
      </c>
      <c r="L65" s="110">
        <f>AnalysisSVic!M77+AnalysisSal!M78+AnalysisBV!M78</f>
        <v>611.1620207016192</v>
      </c>
      <c r="M65" s="110">
        <f>AnalysisSVic!N77+AnalysisSal!N78+AnalysisBV!N78</f>
        <v>665.9701771161901</v>
      </c>
      <c r="N65" s="110">
        <f>AnalysisSVic!O77+AnalysisSal!O78+AnalysisBV!O78</f>
        <v>723.5187413514919</v>
      </c>
      <c r="O65" s="110">
        <f>AnalysisSVic!P77+AnalysisSal!P78+AnalysisBV!P78</f>
        <v>783.9447337985557</v>
      </c>
      <c r="P65" s="110">
        <f>AnalysisSVic!Q77+AnalysisSal!Q78+AnalysisBV!Q78</f>
        <v>847.3920258679764</v>
      </c>
      <c r="Q65" s="110">
        <f>AnalysisSVic!R77+AnalysisSal!R78+AnalysisBV!R78</f>
        <v>914.0116825408633</v>
      </c>
      <c r="R65" s="110">
        <f>AnalysisSVic!S77+AnalysisSal!S78+AnalysisBV!S78</f>
        <v>983.9623220473998</v>
      </c>
      <c r="S65" s="110">
        <f>AnalysisSVic!T77+AnalysisSal!T78+AnalysisBV!T78</f>
        <v>1057.4104935292578</v>
      </c>
      <c r="T65" s="110">
        <f>AnalysisSVic!U77+AnalysisSal!U78+AnalysisBV!U78</f>
        <v>1134.5310735852108</v>
      </c>
      <c r="U65" s="110">
        <f>AnalysisSVic!V77+AnalysisSal!V78+AnalysisBV!V78</f>
        <v>1215.5076826439658</v>
      </c>
      <c r="V65" s="110">
        <f>AnalysisSVic!W77+AnalysisSal!W78+AnalysisBV!W78</f>
        <v>1300.5331221556553</v>
      </c>
      <c r="W65" s="110">
        <f>AnalysisSVic!X77+AnalysisSal!X78+AnalysisBV!X78</f>
        <v>1389.809833642929</v>
      </c>
      <c r="X65" s="110">
        <f>AnalysisSVic!Y77+AnalysisSal!Y78+AnalysisBV!Y78</f>
        <v>964.6231852525293</v>
      </c>
      <c r="Y65" s="110">
        <f>AnalysisSVic!Z77+AnalysisSal!Z78+AnalysisBV!Z78</f>
        <v>649.6637404164096</v>
      </c>
    </row>
    <row r="66" spans="2:25" ht="15">
      <c r="B66" t="s">
        <v>189</v>
      </c>
      <c r="C66" s="19"/>
      <c r="D66" s="110">
        <f>AnalysisSVic!E78+AnalysisSal!E79+AnalysisBV!E79</f>
        <v>0</v>
      </c>
      <c r="E66" s="110">
        <f>AnalysisSVic!F78+AnalysisSal!F79+AnalysisBV!F79</f>
        <v>0</v>
      </c>
      <c r="F66" s="110">
        <f>AnalysisSVic!G78+AnalysisSal!G79+AnalysisBV!G79</f>
        <v>0</v>
      </c>
      <c r="G66" s="110">
        <f>AnalysisSVic!H78+AnalysisSal!H79+AnalysisBV!H79</f>
        <v>0</v>
      </c>
      <c r="H66" s="110">
        <f>AnalysisSVic!I78+AnalysisSal!I79+AnalysisBV!I79</f>
        <v>0</v>
      </c>
      <c r="I66" s="110">
        <f>AnalysisSVic!J78+AnalysisSal!J79+AnalysisBV!J79</f>
        <v>0</v>
      </c>
      <c r="J66" s="110">
        <f>AnalysisSVic!K78+AnalysisSal!K79+AnalysisBV!K79</f>
        <v>246.40307019205716</v>
      </c>
      <c r="K66" s="110">
        <f>AnalysisSVic!L78+AnalysisSal!L79+AnalysisBV!L79</f>
        <v>270.456703234615</v>
      </c>
      <c r="L66" s="110">
        <f>AnalysisSVic!M78+AnalysisSal!M79+AnalysisBV!M79</f>
        <v>295.7130179293015</v>
      </c>
      <c r="M66" s="110">
        <f>AnalysisSVic!N78+AnalysisSal!N79+AnalysisBV!N79</f>
        <v>322.2321483587212</v>
      </c>
      <c r="N66" s="110">
        <f>AnalysisSVic!O78+AnalysisSal!O79+AnalysisBV!O79</f>
        <v>350.07723530961306</v>
      </c>
      <c r="O66" s="110">
        <f>AnalysisSVic!P78+AnalysisSal!P79+AnalysisBV!P79</f>
        <v>379.314576608048</v>
      </c>
      <c r="P66" s="110">
        <f>AnalysisSVic!Q78+AnalysisSal!Q79+AnalysisBV!Q79</f>
        <v>410.01378497140655</v>
      </c>
      <c r="Q66" s="110">
        <f>AnalysisSVic!R78+AnalysisSal!R79+AnalysisBV!R79</f>
        <v>442.2479537529306</v>
      </c>
      <c r="R66" s="110">
        <f>AnalysisSVic!S78+AnalysisSal!S79+AnalysisBV!S79</f>
        <v>476.09383097353344</v>
      </c>
      <c r="S66" s="110">
        <f>AnalysisSVic!T78+AnalysisSal!T79+AnalysisBV!T79</f>
        <v>511.63200205516387</v>
      </c>
      <c r="T66" s="110">
        <f>AnalysisSVic!U78+AnalysisSal!U79+AnalysisBV!U79</f>
        <v>548.9470816908768</v>
      </c>
      <c r="U66" s="110">
        <f>AnalysisSVic!V78+AnalysisSal!V79+AnalysisBV!V79</f>
        <v>588.1279153083775</v>
      </c>
      <c r="V66" s="110">
        <f>AnalysisSVic!W78+AnalysisSal!W79+AnalysisBV!W79</f>
        <v>629.2677906067516</v>
      </c>
      <c r="W66" s="110">
        <f>AnalysisSVic!X78+AnalysisSal!X79+AnalysisBV!X79</f>
        <v>672.4646596700445</v>
      </c>
      <c r="X66" s="110">
        <f>AnalysisSVic!Y78+AnalysisSal!Y79+AnalysisBV!Y79</f>
        <v>466.7365176719093</v>
      </c>
      <c r="Y66" s="110">
        <f>AnalysisSVic!Z78+AnalysisSal!Z79+AnalysisBV!Z79</f>
        <v>314.34221828317516</v>
      </c>
    </row>
    <row r="67" spans="2:25" ht="15">
      <c r="B67" t="s">
        <v>190</v>
      </c>
      <c r="C67" s="19"/>
      <c r="D67" s="110">
        <f>AnalysisSVic!E79+AnalysisSal!E80+AnalysisBV!E80</f>
        <v>0</v>
      </c>
      <c r="E67" s="110">
        <f>AnalysisSVic!F79+AnalysisSal!F80+AnalysisBV!F80</f>
        <v>0</v>
      </c>
      <c r="F67" s="110">
        <f>AnalysisSVic!G79+AnalysisSal!G80+AnalysisBV!G80</f>
        <v>0</v>
      </c>
      <c r="G67" s="110">
        <f>AnalysisSVic!H79+AnalysisSal!H80+AnalysisBV!H80</f>
        <v>0</v>
      </c>
      <c r="H67" s="110">
        <f>AnalysisSVic!I79+AnalysisSal!I80+AnalysisBV!I80</f>
        <v>0</v>
      </c>
      <c r="I67" s="110">
        <f>AnalysisSVic!J79+AnalysisSal!J80+AnalysisBV!J80</f>
        <v>0</v>
      </c>
      <c r="J67" s="110">
        <f>AnalysisSVic!K79+AnalysisSal!K80+AnalysisBV!K80</f>
        <v>5085.035188503686</v>
      </c>
      <c r="K67" s="110">
        <f>AnalysisSVic!L79+AnalysisSal!L80+AnalysisBV!L80</f>
        <v>496.39629221107384</v>
      </c>
      <c r="L67" s="110">
        <f>AnalysisSVic!M79+AnalysisSal!M80+AnalysisBV!M80</f>
        <v>521.2161068216286</v>
      </c>
      <c r="M67" s="110">
        <f>AnalysisSVic!N79+AnalysisSal!N80+AnalysisBV!N80</f>
        <v>547.2769121627122</v>
      </c>
      <c r="N67" s="110">
        <f>AnalysisSVic!O79+AnalysisSal!O80+AnalysisBV!O80</f>
        <v>574.6407577708438</v>
      </c>
      <c r="O67" s="110">
        <f>AnalysisSVic!P79+AnalysisSal!P80+AnalysisBV!P80</f>
        <v>603.3727956593992</v>
      </c>
      <c r="P67" s="110">
        <f>AnalysisSVic!Q79+AnalysisSal!Q80+AnalysisBV!Q80</f>
        <v>633.54143544236</v>
      </c>
      <c r="Q67" s="110">
        <f>AnalysisSVic!R79+AnalysisSal!R80+AnalysisBV!R80</f>
        <v>665.218507214465</v>
      </c>
      <c r="R67" s="110">
        <f>AnalysisSVic!S79+AnalysisSal!S80+AnalysisBV!S80</f>
        <v>698.4794325751933</v>
      </c>
      <c r="S67" s="110">
        <f>AnalysisSVic!T79+AnalysisSal!T80+AnalysisBV!T80</f>
        <v>733.4034042039586</v>
      </c>
      <c r="T67" s="110">
        <f>AnalysisSVic!U79+AnalysisSal!U80+AnalysisBV!U80</f>
        <v>770.0735744141426</v>
      </c>
      <c r="U67" s="110">
        <f>AnalysisSVic!V79+AnalysisSal!V80+AnalysisBV!V80</f>
        <v>808.5772531348789</v>
      </c>
      <c r="V67" s="110">
        <f>AnalysisSVic!W79+AnalysisSal!W80+AnalysisBV!W80</f>
        <v>849.0061157916091</v>
      </c>
      <c r="W67" s="110">
        <f>AnalysisSVic!X79+AnalysisSal!X80+AnalysisBV!X80</f>
        <v>891.4564215811852</v>
      </c>
      <c r="X67" s="110">
        <f>AnalysisSVic!Y79+AnalysisSal!Y80+AnalysisBV!Y80</f>
        <v>-4382.601481304629</v>
      </c>
      <c r="Y67" s="110">
        <f>AnalysisSVic!Z79+AnalysisSal!Z80+AnalysisBV!Z80</f>
        <v>-3254.0890803810657</v>
      </c>
    </row>
    <row r="68" spans="3:25" ht="15">
      <c r="C68" s="19"/>
      <c r="D68" s="104"/>
      <c r="E68" s="104"/>
      <c r="F68" s="104"/>
      <c r="G68" s="104"/>
      <c r="H68" s="104"/>
      <c r="I68" s="104"/>
      <c r="J68" s="104"/>
      <c r="K68" s="104"/>
      <c r="L68" s="104"/>
      <c r="M68" s="104"/>
      <c r="N68" s="104"/>
      <c r="O68" s="104"/>
      <c r="P68" s="104"/>
      <c r="Q68" s="104"/>
      <c r="R68" s="104"/>
      <c r="S68" s="104"/>
      <c r="T68" s="104"/>
      <c r="U68" s="104"/>
      <c r="V68" s="104"/>
      <c r="W68" s="104"/>
      <c r="X68" s="104"/>
      <c r="Y68" s="104"/>
    </row>
    <row r="69" spans="2:25" ht="15">
      <c r="B69" t="s">
        <v>202</v>
      </c>
      <c r="C69" s="19"/>
      <c r="D69" s="104"/>
      <c r="E69" s="104"/>
      <c r="F69" s="104"/>
      <c r="G69" s="104"/>
      <c r="H69" s="104"/>
      <c r="I69" s="104"/>
      <c r="J69" s="104"/>
      <c r="K69" s="104"/>
      <c r="L69" s="104"/>
      <c r="M69" s="104"/>
      <c r="N69" s="104"/>
      <c r="O69" s="104"/>
      <c r="P69" s="104"/>
      <c r="Q69" s="104"/>
      <c r="R69" s="104"/>
      <c r="S69" s="104"/>
      <c r="T69" s="104"/>
      <c r="U69" s="104"/>
      <c r="V69" s="104"/>
      <c r="W69" s="104"/>
      <c r="X69" s="104"/>
      <c r="Y69" s="104"/>
    </row>
    <row r="70" spans="2:25" ht="15">
      <c r="B70" t="s">
        <v>193</v>
      </c>
      <c r="C70" s="314">
        <f>AVERAGE(J63:Y63)</f>
        <v>591.2586973586028</v>
      </c>
      <c r="D70" s="104"/>
      <c r="E70" s="104"/>
      <c r="F70" s="104"/>
      <c r="G70" s="104"/>
      <c r="H70" s="104"/>
      <c r="I70" s="104"/>
      <c r="J70" s="104"/>
      <c r="K70" s="104"/>
      <c r="L70" s="104"/>
      <c r="M70" s="104"/>
      <c r="N70" s="104"/>
      <c r="O70" s="104"/>
      <c r="P70" s="104"/>
      <c r="Q70" s="104"/>
      <c r="R70" s="104"/>
      <c r="S70" s="104"/>
      <c r="T70" s="104"/>
      <c r="U70" s="104"/>
      <c r="V70" s="104"/>
      <c r="W70" s="104"/>
      <c r="X70" s="104"/>
      <c r="Y70" s="104"/>
    </row>
    <row r="71" spans="2:25" ht="15">
      <c r="B71" t="s">
        <v>187</v>
      </c>
      <c r="C71" s="314">
        <f>AVERAGE(J64:Y64)</f>
        <v>63.885070420163515</v>
      </c>
      <c r="D71" s="104"/>
      <c r="E71" s="104"/>
      <c r="F71" s="104"/>
      <c r="G71" s="104"/>
      <c r="H71" s="104"/>
      <c r="I71" s="104"/>
      <c r="J71" s="104"/>
      <c r="K71" s="104"/>
      <c r="L71" s="104"/>
      <c r="M71" s="104"/>
      <c r="N71" s="104"/>
      <c r="O71" s="104"/>
      <c r="P71" s="104"/>
      <c r="Q71" s="104"/>
      <c r="R71" s="104"/>
      <c r="S71" s="104"/>
      <c r="T71" s="104"/>
      <c r="U71" s="104"/>
      <c r="V71" s="104"/>
      <c r="W71" s="104"/>
      <c r="X71" s="104"/>
      <c r="Y71" s="104"/>
    </row>
    <row r="72" spans="2:25" ht="15">
      <c r="B72" t="s">
        <v>194</v>
      </c>
      <c r="C72" s="314">
        <f>AVERAGE(J65:Y65)</f>
        <v>894.3909858822891</v>
      </c>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2:25" ht="15">
      <c r="B73" t="s">
        <v>189</v>
      </c>
      <c r="C73" s="314">
        <f>AVERAGE(J66:Y66)</f>
        <v>432.7544066635329</v>
      </c>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2:25" ht="15">
      <c r="B74" t="s">
        <v>190</v>
      </c>
      <c r="C74" s="314">
        <f>AVERAGE(J67:W67)</f>
        <v>991.2638712490813</v>
      </c>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3:25" ht="15">
      <c r="C75" s="19"/>
      <c r="D75" s="104"/>
      <c r="E75" s="104"/>
      <c r="F75" s="104"/>
      <c r="G75" s="104"/>
      <c r="H75" s="104"/>
      <c r="I75" s="104"/>
      <c r="J75" s="104"/>
      <c r="K75" s="104"/>
      <c r="L75" s="104"/>
      <c r="M75" s="104"/>
      <c r="N75" s="104"/>
      <c r="O75" s="104"/>
      <c r="P75" s="104"/>
      <c r="Q75" s="104"/>
      <c r="R75" s="104"/>
      <c r="S75" s="104"/>
      <c r="T75" s="104"/>
      <c r="U75" s="104"/>
      <c r="V75" s="104"/>
      <c r="W75" s="104"/>
      <c r="X75" s="104"/>
      <c r="Y75" s="104"/>
    </row>
    <row r="76" spans="2:25" ht="15">
      <c r="B76" t="s">
        <v>203</v>
      </c>
      <c r="C76" s="19"/>
      <c r="D76" s="104"/>
      <c r="E76" s="104"/>
      <c r="F76" s="104"/>
      <c r="G76" s="104"/>
      <c r="H76" s="104"/>
      <c r="I76" s="104"/>
      <c r="J76" s="104"/>
      <c r="K76" s="104"/>
      <c r="L76" s="104"/>
      <c r="M76" s="104"/>
      <c r="N76" s="104"/>
      <c r="O76" s="104"/>
      <c r="P76" s="104"/>
      <c r="Q76" s="104"/>
      <c r="R76" s="104"/>
      <c r="S76" s="104"/>
      <c r="T76" s="104"/>
      <c r="U76" s="104"/>
      <c r="V76" s="104"/>
      <c r="W76" s="104"/>
      <c r="X76" s="104"/>
      <c r="Y76" s="104"/>
    </row>
    <row r="77" spans="2:25" ht="15">
      <c r="B77" t="s">
        <v>197</v>
      </c>
      <c r="C77" s="19">
        <f>(C71+C72)/5</f>
        <v>191.65521126049052</v>
      </c>
      <c r="D77" s="104" t="s">
        <v>198</v>
      </c>
      <c r="E77" s="104"/>
      <c r="F77" s="104"/>
      <c r="G77" s="104"/>
      <c r="H77" s="104"/>
      <c r="I77" s="104"/>
      <c r="J77" s="104"/>
      <c r="K77" s="104"/>
      <c r="L77" s="104"/>
      <c r="M77" s="104"/>
      <c r="N77" s="104"/>
      <c r="O77" s="104"/>
      <c r="P77" s="104"/>
      <c r="Q77" s="104"/>
      <c r="R77" s="104"/>
      <c r="S77" s="104"/>
      <c r="T77" s="104"/>
      <c r="U77" s="104"/>
      <c r="V77" s="104"/>
      <c r="W77" s="104"/>
      <c r="X77" s="104"/>
      <c r="Y77" s="104"/>
    </row>
    <row r="78" spans="2:25" ht="15">
      <c r="B78" t="s">
        <v>199</v>
      </c>
      <c r="C78" s="19">
        <v>1</v>
      </c>
      <c r="D78" s="104"/>
      <c r="E78" s="104"/>
      <c r="F78" s="104"/>
      <c r="G78" s="104"/>
      <c r="H78" s="104"/>
      <c r="I78" s="104"/>
      <c r="J78" s="104"/>
      <c r="K78" s="104"/>
      <c r="L78" s="104"/>
      <c r="M78" s="104"/>
      <c r="N78" s="104"/>
      <c r="O78" s="104"/>
      <c r="P78" s="104"/>
      <c r="Q78" s="104"/>
      <c r="R78" s="104"/>
      <c r="S78" s="104"/>
      <c r="T78" s="104"/>
      <c r="U78" s="104"/>
      <c r="V78" s="104"/>
      <c r="W78" s="104"/>
      <c r="X78" s="104"/>
      <c r="Y78" s="104"/>
    </row>
    <row r="79" spans="2:25" ht="15">
      <c r="B79" t="s">
        <v>200</v>
      </c>
      <c r="C79" s="19">
        <v>120</v>
      </c>
      <c r="D79" s="104" t="s">
        <v>201</v>
      </c>
      <c r="E79" s="104"/>
      <c r="F79" s="104"/>
      <c r="G79" s="104"/>
      <c r="H79" s="104"/>
      <c r="I79" s="104"/>
      <c r="J79" s="104"/>
      <c r="K79" s="104"/>
      <c r="L79" s="104"/>
      <c r="M79" s="104"/>
      <c r="N79" s="104"/>
      <c r="O79" s="104"/>
      <c r="P79" s="104"/>
      <c r="Q79" s="104"/>
      <c r="R79" s="104"/>
      <c r="S79" s="104"/>
      <c r="T79" s="104"/>
      <c r="U79" s="104"/>
      <c r="V79" s="104"/>
      <c r="W79" s="104"/>
      <c r="X79" s="104"/>
      <c r="Y79" s="104"/>
    </row>
    <row r="80" spans="2:25" ht="15">
      <c r="B80" t="s">
        <v>204</v>
      </c>
      <c r="C80" s="111">
        <v>25</v>
      </c>
      <c r="D80" s="104"/>
      <c r="E80" s="104"/>
      <c r="F80" s="104"/>
      <c r="G80" s="104"/>
      <c r="H80" s="104"/>
      <c r="I80" s="104"/>
      <c r="J80" s="104"/>
      <c r="K80" s="104"/>
      <c r="L80" s="104"/>
      <c r="M80" s="104"/>
      <c r="N80" s="104"/>
      <c r="O80" s="104"/>
      <c r="P80" s="104"/>
      <c r="Q80" s="104"/>
      <c r="R80" s="104"/>
      <c r="S80" s="104"/>
      <c r="T80" s="104"/>
      <c r="U80" s="104"/>
      <c r="V80" s="104"/>
      <c r="W80" s="104"/>
      <c r="X80" s="104"/>
      <c r="Y80" s="104"/>
    </row>
    <row r="81" spans="2:25" ht="15">
      <c r="B81" t="s">
        <v>182</v>
      </c>
      <c r="C81" s="19">
        <f>SUM(C77:C80)</f>
        <v>337.65521126049055</v>
      </c>
      <c r="D81" s="104"/>
      <c r="E81" s="104"/>
      <c r="F81" s="104"/>
      <c r="G81" s="104"/>
      <c r="H81" s="104"/>
      <c r="I81" s="104"/>
      <c r="J81" s="104"/>
      <c r="K81" s="104"/>
      <c r="L81" s="104"/>
      <c r="M81" s="104"/>
      <c r="N81" s="104"/>
      <c r="O81" s="104"/>
      <c r="P81" s="104"/>
      <c r="Q81" s="104"/>
      <c r="R81" s="104"/>
      <c r="S81" s="104"/>
      <c r="T81" s="104"/>
      <c r="U81" s="104"/>
      <c r="V81" s="104"/>
      <c r="W81" s="104"/>
      <c r="X81" s="104"/>
      <c r="Y81" s="104"/>
    </row>
    <row r="82" spans="3:25" ht="15">
      <c r="C82" s="19"/>
      <c r="D82" s="104"/>
      <c r="E82" s="104"/>
      <c r="F82" s="104"/>
      <c r="G82" s="104"/>
      <c r="H82" s="104"/>
      <c r="I82" s="104"/>
      <c r="J82" s="104"/>
      <c r="K82" s="104"/>
      <c r="L82" s="104"/>
      <c r="M82" s="104"/>
      <c r="N82" s="104"/>
      <c r="O82" s="104"/>
      <c r="P82" s="104"/>
      <c r="Q82" s="104"/>
      <c r="R82" s="104"/>
      <c r="S82" s="104"/>
      <c r="T82" s="104"/>
      <c r="U82" s="104"/>
      <c r="V82" s="104"/>
      <c r="W82" s="104"/>
      <c r="X82" s="104"/>
      <c r="Y82" s="104"/>
    </row>
    <row r="83" spans="2:25" ht="15">
      <c r="B83" t="s">
        <v>205</v>
      </c>
      <c r="C83" s="19"/>
      <c r="D83" t="s">
        <v>148</v>
      </c>
      <c r="I83" s="104"/>
      <c r="J83" t="s">
        <v>148</v>
      </c>
      <c r="O83" s="104"/>
      <c r="P83" s="104"/>
      <c r="Q83" s="104"/>
      <c r="R83" s="104"/>
      <c r="S83" s="104"/>
      <c r="T83" s="104"/>
      <c r="U83" s="104"/>
      <c r="V83" s="104"/>
      <c r="W83" s="104"/>
      <c r="X83" s="104"/>
      <c r="Y83" s="104"/>
    </row>
    <row r="84" spans="3:25" ht="15">
      <c r="C84" s="19"/>
      <c r="D84" s="108" t="s">
        <v>149</v>
      </c>
      <c r="E84" s="108" t="s">
        <v>150</v>
      </c>
      <c r="F84" s="108" t="s">
        <v>151</v>
      </c>
      <c r="G84" s="108" t="s">
        <v>152</v>
      </c>
      <c r="H84" s="113" t="s">
        <v>7</v>
      </c>
      <c r="I84" s="104"/>
      <c r="J84" s="108" t="s">
        <v>149</v>
      </c>
      <c r="K84" s="108" t="s">
        <v>150</v>
      </c>
      <c r="L84" s="108" t="s">
        <v>151</v>
      </c>
      <c r="M84" s="108" t="s">
        <v>152</v>
      </c>
      <c r="N84" s="113" t="s">
        <v>7</v>
      </c>
      <c r="O84" s="104"/>
      <c r="P84" s="104"/>
      <c r="Q84" s="104"/>
      <c r="R84" s="104"/>
      <c r="S84" s="104"/>
      <c r="T84" s="104"/>
      <c r="U84" s="104"/>
      <c r="V84" s="104"/>
      <c r="W84" s="104"/>
      <c r="X84" s="104"/>
      <c r="Y84" s="104"/>
    </row>
    <row r="85" spans="2:25" ht="15">
      <c r="B85" t="s">
        <v>186</v>
      </c>
      <c r="C85" s="19"/>
      <c r="D85" s="110">
        <f aca="true" t="shared" si="2" ref="D85:G89">$C70*D32*hhsize</f>
        <v>526.8114993465152</v>
      </c>
      <c r="E85" s="110">
        <f t="shared" si="2"/>
        <v>1170.6922207700336</v>
      </c>
      <c r="F85" s="110">
        <f t="shared" si="2"/>
        <v>1170.6922207700336</v>
      </c>
      <c r="G85" s="110">
        <f t="shared" si="2"/>
        <v>260.1538268377853</v>
      </c>
      <c r="H85" s="110">
        <f>SUM(E85:G85)</f>
        <v>2601.5382683778525</v>
      </c>
      <c r="I85" s="104"/>
      <c r="J85" s="106">
        <f>D85/$H$91</f>
        <v>0.03615897202304521</v>
      </c>
      <c r="K85" s="106">
        <f>E85/$H$91</f>
        <v>0.08035327116232267</v>
      </c>
      <c r="L85" s="106">
        <f>F85/$H$91</f>
        <v>0.08035327116232267</v>
      </c>
      <c r="M85" s="106">
        <f>G85/$H$91</f>
        <v>0.017856282480516152</v>
      </c>
      <c r="N85" s="106">
        <f>H85/$H$91</f>
        <v>0.1785628248051615</v>
      </c>
      <c r="O85" s="104"/>
      <c r="P85" s="104"/>
      <c r="Q85" s="104"/>
      <c r="R85" s="104"/>
      <c r="S85" s="104"/>
      <c r="T85" s="104"/>
      <c r="U85" s="104"/>
      <c r="V85" s="104"/>
      <c r="W85" s="104"/>
      <c r="X85" s="104"/>
      <c r="Y85" s="104"/>
    </row>
    <row r="86" spans="2:25" ht="15">
      <c r="B86" t="s">
        <v>187</v>
      </c>
      <c r="C86" s="19"/>
      <c r="D86" s="110">
        <f t="shared" si="2"/>
        <v>63.246219715961885</v>
      </c>
      <c r="E86" s="110">
        <f t="shared" si="2"/>
        <v>140.54715492435975</v>
      </c>
      <c r="F86" s="110">
        <f t="shared" si="2"/>
        <v>140.54715492435975</v>
      </c>
      <c r="G86" s="110">
        <f t="shared" si="2"/>
        <v>0</v>
      </c>
      <c r="H86" s="110">
        <f aca="true" t="shared" si="3" ref="H86:H91">SUM(E86:G86)</f>
        <v>281.0943098487195</v>
      </c>
      <c r="I86" s="104"/>
      <c r="J86" s="106">
        <f>D86/$H$91</f>
        <v>0.004341056131291079</v>
      </c>
      <c r="K86" s="106">
        <f>E86/$H$91</f>
        <v>0.009646791402869065</v>
      </c>
      <c r="L86" s="106">
        <f>F86/$H$91</f>
        <v>0.009646791402869065</v>
      </c>
      <c r="M86" s="106">
        <f>G86/$H$91</f>
        <v>0</v>
      </c>
      <c r="N86" s="106">
        <f>H86/$H$91</f>
        <v>0.01929358280573813</v>
      </c>
      <c r="O86" s="104"/>
      <c r="P86" s="104"/>
      <c r="Q86" s="104"/>
      <c r="R86" s="104"/>
      <c r="S86" s="104"/>
      <c r="T86" s="104"/>
      <c r="U86" s="104"/>
      <c r="V86" s="104"/>
      <c r="W86" s="104"/>
      <c r="X86" s="104"/>
      <c r="Y86" s="104"/>
    </row>
    <row r="87" spans="2:25" ht="15">
      <c r="B87" t="s">
        <v>188</v>
      </c>
      <c r="C87" s="19"/>
      <c r="D87" s="110">
        <f t="shared" si="2"/>
        <v>885.4470760234663</v>
      </c>
      <c r="E87" s="110">
        <f t="shared" si="2"/>
        <v>1967.660168941036</v>
      </c>
      <c r="F87" s="110">
        <f t="shared" si="2"/>
        <v>1967.660168941036</v>
      </c>
      <c r="G87" s="110">
        <f t="shared" si="2"/>
        <v>0</v>
      </c>
      <c r="H87" s="110">
        <f t="shared" si="3"/>
        <v>3935.320337882072</v>
      </c>
      <c r="I87" s="104"/>
      <c r="J87" s="106">
        <f>D87/$H$91</f>
        <v>0.0607747858380751</v>
      </c>
      <c r="K87" s="106">
        <f>E87/$H$91</f>
        <v>0.1350550796401669</v>
      </c>
      <c r="L87" s="106">
        <f>F87/$H$91</f>
        <v>0.1350550796401669</v>
      </c>
      <c r="M87" s="106">
        <f>G87/$H$91</f>
        <v>0</v>
      </c>
      <c r="N87" s="106">
        <f>H87/$H$91</f>
        <v>0.2701101592803338</v>
      </c>
      <c r="O87" s="104"/>
      <c r="P87" s="104"/>
      <c r="Q87" s="104"/>
      <c r="R87" s="104"/>
      <c r="S87" s="104"/>
      <c r="T87" s="104"/>
      <c r="U87" s="104"/>
      <c r="V87" s="104"/>
      <c r="W87" s="104"/>
      <c r="X87" s="104"/>
      <c r="Y87" s="104"/>
    </row>
    <row r="88" spans="2:25" ht="15">
      <c r="B88" t="s">
        <v>189</v>
      </c>
      <c r="C88" s="19"/>
      <c r="D88" s="110">
        <f t="shared" si="2"/>
        <v>171.37074503875905</v>
      </c>
      <c r="E88" s="110">
        <f t="shared" si="2"/>
        <v>380.823877863909</v>
      </c>
      <c r="F88" s="110">
        <f t="shared" si="2"/>
        <v>380.823877863909</v>
      </c>
      <c r="G88" s="110">
        <f t="shared" si="2"/>
        <v>1142.471633591727</v>
      </c>
      <c r="H88" s="110">
        <f t="shared" si="3"/>
        <v>1904.119389319545</v>
      </c>
      <c r="I88" s="104"/>
      <c r="J88" s="106">
        <f>D88/$H$91</f>
        <v>0.011762442511432419</v>
      </c>
      <c r="K88" s="106">
        <f>E88/$H$91</f>
        <v>0.026138761136516486</v>
      </c>
      <c r="L88" s="106">
        <f>F88/$H$91</f>
        <v>0.026138761136516486</v>
      </c>
      <c r="M88" s="106">
        <f>G88/$H$91</f>
        <v>0.07841628340954945</v>
      </c>
      <c r="N88" s="106">
        <f>H88/$H$91</f>
        <v>0.13069380568258243</v>
      </c>
      <c r="O88" s="104"/>
      <c r="P88" s="104"/>
      <c r="Q88" s="104"/>
      <c r="R88" s="104"/>
      <c r="S88" s="104"/>
      <c r="T88" s="104"/>
      <c r="U88" s="104"/>
      <c r="V88" s="104"/>
      <c r="W88" s="104"/>
      <c r="X88" s="104"/>
      <c r="Y88" s="104"/>
    </row>
    <row r="89" spans="2:25" ht="15">
      <c r="B89" t="s">
        <v>190</v>
      </c>
      <c r="C89" s="19"/>
      <c r="D89" s="110">
        <f t="shared" si="2"/>
        <v>736.013424402443</v>
      </c>
      <c r="E89" s="110">
        <f t="shared" si="2"/>
        <v>1635.5853875609844</v>
      </c>
      <c r="F89" s="110">
        <f t="shared" si="2"/>
        <v>1635.5853875609844</v>
      </c>
      <c r="G89" s="110">
        <f t="shared" si="2"/>
        <v>1090.3902583739896</v>
      </c>
      <c r="H89" s="110">
        <f t="shared" si="3"/>
        <v>4361.561033495958</v>
      </c>
      <c r="I89" s="104"/>
      <c r="J89" s="106">
        <f>D89/$H$91</f>
        <v>0.05051804839979084</v>
      </c>
      <c r="K89" s="106">
        <f>E89/$H$91</f>
        <v>0.11226232977731297</v>
      </c>
      <c r="L89" s="106">
        <f>F89/$H$91</f>
        <v>0.11226232977731297</v>
      </c>
      <c r="M89" s="106">
        <f>G89/$H$91</f>
        <v>0.07484155318487531</v>
      </c>
      <c r="N89" s="106">
        <f>H89/$H$91</f>
        <v>0.29936621273950126</v>
      </c>
      <c r="O89" s="104"/>
      <c r="P89" s="104"/>
      <c r="Q89" s="104"/>
      <c r="R89" s="104"/>
      <c r="S89" s="104"/>
      <c r="T89" s="104"/>
      <c r="U89" s="104"/>
      <c r="V89" s="104"/>
      <c r="W89" s="104"/>
      <c r="X89" s="104"/>
      <c r="Y89" s="104"/>
    </row>
    <row r="90" spans="2:25" ht="15">
      <c r="B90" t="s">
        <v>191</v>
      </c>
      <c r="C90" s="19"/>
      <c r="D90" s="8"/>
      <c r="E90" s="8"/>
      <c r="F90" s="8"/>
      <c r="G90" s="112">
        <f>$C81*G37*hhsize</f>
        <v>1485.6829295461584</v>
      </c>
      <c r="H90" s="114">
        <f t="shared" si="3"/>
        <v>1485.6829295461584</v>
      </c>
      <c r="I90" s="104"/>
      <c r="J90" s="14">
        <f>D90/$H$91</f>
        <v>0</v>
      </c>
      <c r="K90" s="14">
        <f>E90/$H$91</f>
        <v>0</v>
      </c>
      <c r="L90" s="14">
        <f>F90/$H$91</f>
        <v>0</v>
      </c>
      <c r="M90" s="14">
        <f>G90/$H$91</f>
        <v>0.10197341468668293</v>
      </c>
      <c r="N90" s="14">
        <f>H90/$H$91</f>
        <v>0.10197341468668293</v>
      </c>
      <c r="O90" s="104"/>
      <c r="P90" s="104"/>
      <c r="Q90" s="104"/>
      <c r="R90" s="104"/>
      <c r="S90" s="104"/>
      <c r="T90" s="104"/>
      <c r="U90" s="104"/>
      <c r="V90" s="104"/>
      <c r="W90" s="104"/>
      <c r="X90" s="104"/>
      <c r="Y90" s="104"/>
    </row>
    <row r="91" spans="3:25" ht="15">
      <c r="C91" s="19"/>
      <c r="D91" s="110">
        <f>SUM(D85:D90)</f>
        <v>2382.8889645271456</v>
      </c>
      <c r="E91" s="110">
        <f>SUM(E85:E90)</f>
        <v>5295.308810060323</v>
      </c>
      <c r="F91" s="110">
        <f>SUM(F85:F90)</f>
        <v>5295.308810060323</v>
      </c>
      <c r="G91" s="110">
        <f>SUM(G85:G90)</f>
        <v>3978.6986483496603</v>
      </c>
      <c r="H91" s="110">
        <f t="shared" si="3"/>
        <v>14569.316268470306</v>
      </c>
      <c r="I91" s="104"/>
      <c r="J91" s="106">
        <f>D91/$H$91</f>
        <v>0.16355530490363465</v>
      </c>
      <c r="K91" s="106">
        <f>E91/$H$91</f>
        <v>0.36345623311918807</v>
      </c>
      <c r="L91" s="106">
        <f>F91/$H$91</f>
        <v>0.36345623311918807</v>
      </c>
      <c r="M91" s="106">
        <f>G91/$H$91</f>
        <v>0.27308753376162387</v>
      </c>
      <c r="N91" s="106">
        <f>H91/$H$91</f>
        <v>1</v>
      </c>
      <c r="O91" s="104"/>
      <c r="P91" s="104"/>
      <c r="Q91" s="104"/>
      <c r="R91" s="104"/>
      <c r="S91" s="104"/>
      <c r="T91" s="104"/>
      <c r="U91" s="104"/>
      <c r="V91" s="104"/>
      <c r="W91" s="104"/>
      <c r="X91" s="104"/>
      <c r="Y91" s="104"/>
    </row>
    <row r="92" spans="2:25" ht="15">
      <c r="B92" t="s">
        <v>207</v>
      </c>
      <c r="C92" s="19"/>
      <c r="D92" s="115">
        <f>D91/$H91</f>
        <v>0.16355530490363465</v>
      </c>
      <c r="E92" s="115">
        <f>E91/$H91</f>
        <v>0.36345623311918807</v>
      </c>
      <c r="F92" s="115">
        <f>F91/$H91</f>
        <v>0.36345623311918807</v>
      </c>
      <c r="G92" s="115">
        <f>G91/$H91</f>
        <v>0.27308753376162387</v>
      </c>
      <c r="H92" s="115">
        <f>H91/$H91</f>
        <v>1</v>
      </c>
      <c r="I92" s="104"/>
      <c r="J92" s="110"/>
      <c r="K92" s="104"/>
      <c r="L92" s="104"/>
      <c r="M92" s="104"/>
      <c r="N92" s="104"/>
      <c r="O92" s="104"/>
      <c r="P92" s="104"/>
      <c r="Q92" s="104"/>
      <c r="R92" s="104"/>
      <c r="S92" s="104"/>
      <c r="T92" s="104"/>
      <c r="U92" s="104"/>
      <c r="V92" s="104"/>
      <c r="W92" s="104"/>
      <c r="X92" s="104"/>
      <c r="Y92" s="104"/>
    </row>
    <row r="93" spans="2:25" ht="15">
      <c r="B93" t="s">
        <v>153</v>
      </c>
      <c r="D93" s="2">
        <v>0.1631</v>
      </c>
      <c r="E93" s="2">
        <v>0.3664</v>
      </c>
      <c r="F93" s="2">
        <v>0.3473</v>
      </c>
      <c r="G93" s="2">
        <v>0.2864</v>
      </c>
      <c r="H93" s="104"/>
      <c r="I93" s="104"/>
      <c r="J93" s="104"/>
      <c r="K93" s="104"/>
      <c r="L93" s="104"/>
      <c r="M93" s="104"/>
      <c r="N93" s="104"/>
      <c r="O93" s="104"/>
      <c r="P93" s="104"/>
      <c r="Q93" s="104"/>
      <c r="R93" s="104"/>
      <c r="S93" s="104"/>
      <c r="T93" s="104"/>
      <c r="U93" s="104"/>
      <c r="V93" s="104"/>
      <c r="W93" s="104"/>
      <c r="X93" s="104"/>
      <c r="Y93" s="104"/>
    </row>
    <row r="94" spans="4:25" ht="15">
      <c r="D94" s="2"/>
      <c r="E94" s="2"/>
      <c r="F94" s="2"/>
      <c r="G94" s="2"/>
      <c r="H94" s="104"/>
      <c r="I94" s="104"/>
      <c r="J94" s="104"/>
      <c r="K94" s="104"/>
      <c r="L94" s="104"/>
      <c r="M94" s="104"/>
      <c r="N94" s="104"/>
      <c r="O94" s="104"/>
      <c r="P94" s="104"/>
      <c r="Q94" s="104"/>
      <c r="R94" s="104"/>
      <c r="S94" s="104"/>
      <c r="T94" s="104"/>
      <c r="U94" s="104"/>
      <c r="V94" s="104"/>
      <c r="W94" s="104"/>
      <c r="X94" s="104"/>
      <c r="Y94" s="104"/>
    </row>
    <row r="95" spans="2:25" ht="15">
      <c r="B95" t="s">
        <v>235</v>
      </c>
      <c r="C95" s="19"/>
      <c r="D95" s="110">
        <f>(D45-D59)/D91/[0]!exrate</f>
        <v>1416.6091634586996</v>
      </c>
      <c r="E95" s="110">
        <f>(E45-E59)/E91/[0]!exrate</f>
        <v>1416.6091634586999</v>
      </c>
      <c r="F95" s="110">
        <f>(F45-F59)/F91/[0]!exrate</f>
        <v>1416.6091634586999</v>
      </c>
      <c r="G95" s="110">
        <f>(G45-G59)/G91/[0]!exrate</f>
        <v>4320.258195288309</v>
      </c>
      <c r="H95" s="104"/>
      <c r="I95" s="104"/>
      <c r="J95" s="104"/>
      <c r="K95" s="104"/>
      <c r="L95" s="104"/>
      <c r="M95" s="104"/>
      <c r="N95" s="104"/>
      <c r="O95" s="104"/>
      <c r="P95" s="104"/>
      <c r="Q95" s="104"/>
      <c r="R95" s="104"/>
      <c r="S95" s="104"/>
      <c r="T95" s="104"/>
      <c r="U95" s="104"/>
      <c r="V95" s="104"/>
      <c r="W95" s="104"/>
      <c r="X95" s="104"/>
      <c r="Y95" s="104"/>
    </row>
    <row r="96" spans="2:25" ht="15">
      <c r="B96" t="s">
        <v>155</v>
      </c>
      <c r="C96" s="19"/>
      <c r="D96">
        <v>331</v>
      </c>
      <c r="E96">
        <v>467</v>
      </c>
      <c r="F96">
        <v>1027</v>
      </c>
      <c r="G96">
        <v>3167</v>
      </c>
      <c r="H96" s="104"/>
      <c r="I96" s="104"/>
      <c r="J96" s="110"/>
      <c r="K96" s="110"/>
      <c r="L96" s="110"/>
      <c r="M96" s="110"/>
      <c r="N96" s="104"/>
      <c r="O96" s="104"/>
      <c r="P96" s="104"/>
      <c r="Q96" s="104"/>
      <c r="R96" s="104"/>
      <c r="S96" s="104"/>
      <c r="T96" s="104"/>
      <c r="U96" s="104"/>
      <c r="V96" s="104"/>
      <c r="W96" s="104"/>
      <c r="X96" s="104"/>
      <c r="Y96" s="104"/>
    </row>
    <row r="97" spans="2:25" ht="15">
      <c r="B97" t="s">
        <v>169</v>
      </c>
      <c r="C97" s="19"/>
      <c r="D97" s="106">
        <f>D95/D96</f>
        <v>4.279785992322355</v>
      </c>
      <c r="E97" s="106">
        <f>E95/E96</f>
        <v>3.0334243328880084</v>
      </c>
      <c r="F97" s="106">
        <f>F95/F96</f>
        <v>1.3793662740591042</v>
      </c>
      <c r="G97" s="106">
        <f>G95/G96</f>
        <v>1.3641484670945088</v>
      </c>
      <c r="H97" s="104"/>
      <c r="I97" s="104"/>
      <c r="J97" s="110"/>
      <c r="K97" s="110"/>
      <c r="L97" s="110"/>
      <c r="M97" s="110"/>
      <c r="N97" s="104"/>
      <c r="O97" s="104"/>
      <c r="P97" s="104"/>
      <c r="Q97" s="104"/>
      <c r="R97" s="104"/>
      <c r="S97" s="104"/>
      <c r="T97" s="104"/>
      <c r="U97" s="104"/>
      <c r="V97" s="104"/>
      <c r="W97" s="104"/>
      <c r="X97" s="104"/>
      <c r="Y97" s="104"/>
    </row>
    <row r="98" spans="3:25" ht="15">
      <c r="C98" s="19"/>
      <c r="D98" s="104"/>
      <c r="E98" s="104"/>
      <c r="F98" s="104"/>
      <c r="G98" s="104"/>
      <c r="H98" s="104"/>
      <c r="I98" s="104"/>
      <c r="J98" s="110"/>
      <c r="K98" s="110"/>
      <c r="L98" s="110"/>
      <c r="M98" s="110"/>
      <c r="N98" s="104"/>
      <c r="O98" s="104"/>
      <c r="P98" s="104"/>
      <c r="Q98" s="104"/>
      <c r="R98" s="104"/>
      <c r="S98" s="104"/>
      <c r="T98" s="104"/>
      <c r="U98" s="104"/>
      <c r="V98" s="104"/>
      <c r="W98" s="104"/>
      <c r="X98" s="104"/>
      <c r="Y98" s="104"/>
    </row>
    <row r="99" spans="2:25" ht="15">
      <c r="B99" t="s">
        <v>275</v>
      </c>
      <c r="C99" s="19"/>
      <c r="D99" s="104"/>
      <c r="E99" s="104"/>
      <c r="F99" s="104"/>
      <c r="G99" s="104"/>
      <c r="H99" s="104"/>
      <c r="I99" s="104"/>
      <c r="J99" s="110"/>
      <c r="K99" s="110"/>
      <c r="L99" s="110"/>
      <c r="M99" s="110"/>
      <c r="N99" s="104"/>
      <c r="O99" s="104"/>
      <c r="P99" s="104"/>
      <c r="Q99" s="104"/>
      <c r="R99" s="104"/>
      <c r="S99" s="104"/>
      <c r="T99" s="104"/>
      <c r="U99" s="104"/>
      <c r="V99" s="104"/>
      <c r="W99" s="104"/>
      <c r="X99" s="104"/>
      <c r="Y99" s="104"/>
    </row>
    <row r="100" spans="2:25" ht="15">
      <c r="B100" t="s">
        <v>133</v>
      </c>
      <c r="C100" s="123">
        <f>BA_Data_Simulation!P12</f>
        <v>687829010</v>
      </c>
      <c r="D100" s="104"/>
      <c r="E100" s="104"/>
      <c r="F100" s="104"/>
      <c r="G100" s="104"/>
      <c r="H100" s="104"/>
      <c r="I100" s="104"/>
      <c r="J100" s="110"/>
      <c r="K100" s="110"/>
      <c r="L100" s="110"/>
      <c r="M100" s="110"/>
      <c r="N100" s="104"/>
      <c r="O100" s="104"/>
      <c r="P100" s="104"/>
      <c r="Q100" s="104"/>
      <c r="R100" s="104"/>
      <c r="S100" s="104"/>
      <c r="T100" s="104"/>
      <c r="U100" s="104"/>
      <c r="V100" s="104"/>
      <c r="W100" s="104"/>
      <c r="X100" s="104"/>
      <c r="Y100" s="104"/>
    </row>
    <row r="101" spans="2:25" ht="15">
      <c r="B101" t="s">
        <v>136</v>
      </c>
      <c r="C101" s="123">
        <f>BA_Data_Simulation!P28</f>
        <v>103924132</v>
      </c>
      <c r="D101" s="104"/>
      <c r="E101" s="104"/>
      <c r="F101" s="104"/>
      <c r="G101" s="104"/>
      <c r="H101" s="104"/>
      <c r="I101" s="104"/>
      <c r="J101" s="110"/>
      <c r="K101" s="110"/>
      <c r="L101" s="110"/>
      <c r="M101" s="110"/>
      <c r="N101" s="104"/>
      <c r="O101" s="104"/>
      <c r="P101" s="104"/>
      <c r="Q101" s="104"/>
      <c r="R101" s="104"/>
      <c r="S101" s="104"/>
      <c r="T101" s="104"/>
      <c r="U101" s="104"/>
      <c r="V101" s="104"/>
      <c r="W101" s="104"/>
      <c r="X101" s="104"/>
      <c r="Y101" s="104"/>
    </row>
    <row r="102" spans="2:25" ht="15">
      <c r="B102" t="s">
        <v>138</v>
      </c>
      <c r="C102" s="123">
        <f>BA_Data_Simulation!P44</f>
        <v>1557716680</v>
      </c>
      <c r="D102" s="104"/>
      <c r="E102" s="104"/>
      <c r="F102" s="104"/>
      <c r="G102" s="104"/>
      <c r="H102" s="104"/>
      <c r="I102" s="104"/>
      <c r="J102" s="110"/>
      <c r="K102" s="110"/>
      <c r="L102" s="110"/>
      <c r="M102" s="110"/>
      <c r="N102" s="104"/>
      <c r="O102" s="104"/>
      <c r="P102" s="104"/>
      <c r="Q102" s="104"/>
      <c r="R102" s="104"/>
      <c r="S102" s="104"/>
      <c r="T102" s="104"/>
      <c r="U102" s="104"/>
      <c r="V102" s="104"/>
      <c r="W102" s="104"/>
      <c r="X102" s="104"/>
      <c r="Y102" s="104"/>
    </row>
    <row r="103" spans="2:25" ht="15">
      <c r="B103" t="s">
        <v>176</v>
      </c>
      <c r="C103" s="123">
        <f>BA_Data_Simulation!P60</f>
        <v>557643294</v>
      </c>
      <c r="D103" s="104"/>
      <c r="E103" s="104"/>
      <c r="F103" s="104"/>
      <c r="G103" s="104"/>
      <c r="H103" s="104"/>
      <c r="I103" s="104"/>
      <c r="J103" s="110"/>
      <c r="K103" s="110"/>
      <c r="L103" s="110"/>
      <c r="M103" s="110"/>
      <c r="N103" s="104"/>
      <c r="O103" s="104"/>
      <c r="P103" s="104"/>
      <c r="Q103" s="104"/>
      <c r="R103" s="104"/>
      <c r="S103" s="104"/>
      <c r="T103" s="104"/>
      <c r="U103" s="104"/>
      <c r="V103" s="104"/>
      <c r="W103" s="104"/>
      <c r="X103" s="104"/>
      <c r="Y103" s="104"/>
    </row>
    <row r="104" spans="2:25" ht="15">
      <c r="B104" t="s">
        <v>140</v>
      </c>
      <c r="C104" s="123">
        <f>BA_Data_Simulation!P76</f>
        <v>1158032816</v>
      </c>
      <c r="D104" s="104"/>
      <c r="E104" s="104"/>
      <c r="F104" s="104"/>
      <c r="G104" s="104"/>
      <c r="H104" s="104"/>
      <c r="I104" s="104"/>
      <c r="J104" s="110"/>
      <c r="K104" s="110"/>
      <c r="L104" s="110"/>
      <c r="M104" s="110"/>
      <c r="N104" s="104"/>
      <c r="O104" s="104"/>
      <c r="P104" s="104"/>
      <c r="Q104" s="104"/>
      <c r="R104" s="104"/>
      <c r="S104" s="104"/>
      <c r="T104" s="104"/>
      <c r="U104" s="104"/>
      <c r="V104" s="104"/>
      <c r="W104" s="104"/>
      <c r="X104" s="104"/>
      <c r="Y104" s="104"/>
    </row>
    <row r="105" spans="2:25" ht="15">
      <c r="B105" t="s">
        <v>179</v>
      </c>
      <c r="C105" s="105">
        <f>SUM(C100:C104)</f>
        <v>4065145932</v>
      </c>
      <c r="D105" s="104"/>
      <c r="E105" s="104"/>
      <c r="F105" s="104"/>
      <c r="G105" s="104"/>
      <c r="H105" s="104"/>
      <c r="I105" s="104"/>
      <c r="J105" s="110"/>
      <c r="K105" s="110"/>
      <c r="L105" s="110"/>
      <c r="M105" s="110"/>
      <c r="N105" s="104"/>
      <c r="O105" s="104"/>
      <c r="P105" s="104"/>
      <c r="Q105" s="104"/>
      <c r="R105" s="104"/>
      <c r="S105" s="104"/>
      <c r="T105" s="104"/>
      <c r="U105" s="104"/>
      <c r="V105" s="104"/>
      <c r="W105" s="104"/>
      <c r="X105" s="104"/>
      <c r="Y105" s="104"/>
    </row>
    <row r="106" spans="2:25" ht="15">
      <c r="B106" t="s">
        <v>147</v>
      </c>
      <c r="C106" s="123">
        <f>BA_Data_Simulation!P92</f>
        <v>2200623797</v>
      </c>
      <c r="D106" s="104"/>
      <c r="E106" s="104"/>
      <c r="F106" s="104"/>
      <c r="G106" s="104"/>
      <c r="H106" s="104"/>
      <c r="I106" s="104"/>
      <c r="J106" s="110"/>
      <c r="K106" s="110"/>
      <c r="L106" s="110"/>
      <c r="M106" s="110"/>
      <c r="N106" s="104"/>
      <c r="O106" s="104"/>
      <c r="P106" s="104"/>
      <c r="Q106" s="104"/>
      <c r="R106" s="104"/>
      <c r="S106" s="104"/>
      <c r="T106" s="104"/>
      <c r="U106" s="104"/>
      <c r="V106" s="104"/>
      <c r="W106" s="104"/>
      <c r="X106" s="104"/>
      <c r="Y106" s="104"/>
    </row>
    <row r="107" spans="2:25" ht="15">
      <c r="B107" t="s">
        <v>180</v>
      </c>
      <c r="C107" s="124">
        <f>BA_Data_Simulation!V92</f>
        <v>1212961900</v>
      </c>
      <c r="D107" s="104"/>
      <c r="E107" s="104"/>
      <c r="F107" s="104"/>
      <c r="G107" s="104"/>
      <c r="H107" s="104"/>
      <c r="I107" s="104"/>
      <c r="J107" s="110"/>
      <c r="K107" s="110"/>
      <c r="L107" s="110"/>
      <c r="M107" s="110"/>
      <c r="N107" s="104"/>
      <c r="O107" s="104"/>
      <c r="P107" s="104"/>
      <c r="Q107" s="104"/>
      <c r="R107" s="104"/>
      <c r="S107" s="104"/>
      <c r="T107" s="104"/>
      <c r="U107" s="104"/>
      <c r="V107" s="104"/>
      <c r="W107" s="104"/>
      <c r="X107" s="104"/>
      <c r="Y107" s="104"/>
    </row>
    <row r="108" spans="2:25" ht="15">
      <c r="B108" t="s">
        <v>182</v>
      </c>
      <c r="C108" s="105">
        <f>C105+C106+C107</f>
        <v>7478731629</v>
      </c>
      <c r="D108" s="104"/>
      <c r="E108" s="104"/>
      <c r="F108" s="104"/>
      <c r="G108" s="104"/>
      <c r="H108" s="104"/>
      <c r="I108" s="104"/>
      <c r="J108" s="110"/>
      <c r="K108" s="110"/>
      <c r="L108" s="110"/>
      <c r="M108" s="110"/>
      <c r="N108" s="104"/>
      <c r="O108" s="104"/>
      <c r="P108" s="104"/>
      <c r="Q108" s="104"/>
      <c r="R108" s="104"/>
      <c r="S108" s="104"/>
      <c r="T108" s="104"/>
      <c r="U108" s="104"/>
      <c r="V108" s="104"/>
      <c r="W108" s="104"/>
      <c r="X108" s="104"/>
      <c r="Y108" s="104"/>
    </row>
    <row r="109" spans="3:25" ht="15">
      <c r="C109" s="19"/>
      <c r="D109" s="104"/>
      <c r="E109" s="104"/>
      <c r="F109" s="104"/>
      <c r="G109" s="104"/>
      <c r="H109" s="104"/>
      <c r="I109" s="104"/>
      <c r="J109" s="110"/>
      <c r="K109" s="110"/>
      <c r="L109" s="110"/>
      <c r="M109" s="110"/>
      <c r="N109" s="104"/>
      <c r="O109" s="104"/>
      <c r="P109" s="104"/>
      <c r="Q109" s="104"/>
      <c r="R109" s="104"/>
      <c r="S109" s="104"/>
      <c r="T109" s="104"/>
      <c r="U109" s="104"/>
      <c r="V109" s="104"/>
      <c r="W109" s="104"/>
      <c r="X109" s="104"/>
      <c r="Y109" s="104"/>
    </row>
    <row r="110" spans="2:25" ht="15">
      <c r="B110" t="s">
        <v>184</v>
      </c>
      <c r="C110" s="19"/>
      <c r="D110" t="s">
        <v>148</v>
      </c>
      <c r="H110" s="104"/>
      <c r="I110" s="104"/>
      <c r="J110" s="110"/>
      <c r="K110" s="110"/>
      <c r="L110" s="110"/>
      <c r="M110" s="110"/>
      <c r="N110" s="104"/>
      <c r="O110" s="104"/>
      <c r="P110" s="104"/>
      <c r="Q110" s="104"/>
      <c r="R110" s="104"/>
      <c r="S110" s="104"/>
      <c r="T110" s="104"/>
      <c r="U110" s="104"/>
      <c r="V110" s="104"/>
      <c r="W110" s="104"/>
      <c r="X110" s="104"/>
      <c r="Y110" s="104"/>
    </row>
    <row r="111" spans="3:25" ht="15">
      <c r="C111" s="19"/>
      <c r="D111" s="108" t="s">
        <v>149</v>
      </c>
      <c r="E111" s="108" t="s">
        <v>150</v>
      </c>
      <c r="F111" s="108" t="s">
        <v>151</v>
      </c>
      <c r="G111" s="108" t="s">
        <v>152</v>
      </c>
      <c r="H111" s="104"/>
      <c r="I111" s="104"/>
      <c r="J111" s="110"/>
      <c r="K111" s="110"/>
      <c r="L111" s="110"/>
      <c r="M111" s="110"/>
      <c r="N111" s="104"/>
      <c r="O111" s="104"/>
      <c r="P111" s="104"/>
      <c r="Q111" s="104"/>
      <c r="R111" s="104"/>
      <c r="S111" s="104"/>
      <c r="T111" s="104"/>
      <c r="U111" s="104"/>
      <c r="V111" s="104"/>
      <c r="W111" s="104"/>
      <c r="X111" s="104"/>
      <c r="Y111" s="104"/>
    </row>
    <row r="112" spans="2:25" ht="15">
      <c r="B112" t="s">
        <v>186</v>
      </c>
      <c r="C112" s="19"/>
      <c r="D112" s="106">
        <f>E112*0.45</f>
        <v>0.2025</v>
      </c>
      <c r="E112" s="106">
        <v>0.45</v>
      </c>
      <c r="F112" s="106">
        <v>0.45</v>
      </c>
      <c r="G112" s="106">
        <v>0.1</v>
      </c>
      <c r="H112" s="104"/>
      <c r="I112" s="104"/>
      <c r="J112" s="110"/>
      <c r="K112" s="110"/>
      <c r="L112" s="110"/>
      <c r="M112" s="110"/>
      <c r="N112" s="104"/>
      <c r="O112" s="104"/>
      <c r="P112" s="104"/>
      <c r="Q112" s="104"/>
      <c r="R112" s="104"/>
      <c r="S112" s="104"/>
      <c r="T112" s="104"/>
      <c r="U112" s="104"/>
      <c r="V112" s="104"/>
      <c r="W112" s="104"/>
      <c r="X112" s="104"/>
      <c r="Y112" s="104"/>
    </row>
    <row r="113" spans="2:25" ht="15">
      <c r="B113" t="s">
        <v>187</v>
      </c>
      <c r="C113" s="19"/>
      <c r="D113" s="106">
        <f>0.45*E113</f>
        <v>0.225</v>
      </c>
      <c r="E113" s="106">
        <v>0.5</v>
      </c>
      <c r="F113" s="106">
        <v>0.5</v>
      </c>
      <c r="G113" s="106"/>
      <c r="H113" s="104"/>
      <c r="I113" s="104"/>
      <c r="J113" s="110"/>
      <c r="K113" s="110"/>
      <c r="L113" s="110"/>
      <c r="M113" s="110"/>
      <c r="N113" s="104"/>
      <c r="O113" s="104"/>
      <c r="P113" s="104"/>
      <c r="Q113" s="104"/>
      <c r="R113" s="104"/>
      <c r="S113" s="104"/>
      <c r="T113" s="104"/>
      <c r="U113" s="104"/>
      <c r="V113" s="104"/>
      <c r="W113" s="104"/>
      <c r="X113" s="104"/>
      <c r="Y113" s="104"/>
    </row>
    <row r="114" spans="2:25" ht="15">
      <c r="B114" t="s">
        <v>188</v>
      </c>
      <c r="C114" s="19"/>
      <c r="D114" s="106">
        <f>0.45*E114</f>
        <v>0.225</v>
      </c>
      <c r="E114" s="106">
        <v>0.5</v>
      </c>
      <c r="F114" s="106">
        <v>0.5</v>
      </c>
      <c r="G114" s="104"/>
      <c r="H114" s="104"/>
      <c r="I114" s="104"/>
      <c r="J114" s="110"/>
      <c r="K114" s="110"/>
      <c r="L114" s="110"/>
      <c r="M114" s="110"/>
      <c r="N114" s="104"/>
      <c r="O114" s="104"/>
      <c r="P114" s="104"/>
      <c r="Q114" s="104"/>
      <c r="R114" s="104"/>
      <c r="S114" s="104"/>
      <c r="T114" s="104"/>
      <c r="U114" s="104"/>
      <c r="V114" s="104"/>
      <c r="W114" s="104"/>
      <c r="X114" s="104"/>
      <c r="Y114" s="104"/>
    </row>
    <row r="115" spans="2:25" ht="15">
      <c r="B115" t="s">
        <v>189</v>
      </c>
      <c r="C115" s="19"/>
      <c r="D115" s="106">
        <f>0.45*E115</f>
        <v>0.09000000000000001</v>
      </c>
      <c r="E115" s="107">
        <v>0.2</v>
      </c>
      <c r="F115" s="107">
        <v>0.2</v>
      </c>
      <c r="G115" s="106">
        <v>0.6</v>
      </c>
      <c r="H115" s="104"/>
      <c r="I115" s="104"/>
      <c r="J115" s="110"/>
      <c r="K115" s="110"/>
      <c r="L115" s="110"/>
      <c r="M115" s="110"/>
      <c r="N115" s="104"/>
      <c r="O115" s="104"/>
      <c r="P115" s="104"/>
      <c r="Q115" s="104"/>
      <c r="R115" s="104"/>
      <c r="S115" s="104"/>
      <c r="T115" s="104"/>
      <c r="U115" s="104"/>
      <c r="V115" s="104"/>
      <c r="W115" s="104"/>
      <c r="X115" s="104"/>
      <c r="Y115" s="104"/>
    </row>
    <row r="116" spans="2:25" ht="15">
      <c r="B116" t="s">
        <v>190</v>
      </c>
      <c r="C116" s="19"/>
      <c r="D116" s="106">
        <f>E116*0.45</f>
        <v>0.16875</v>
      </c>
      <c r="E116" s="106">
        <f>0.75/2</f>
        <v>0.375</v>
      </c>
      <c r="F116" s="106">
        <f>0.75/2</f>
        <v>0.375</v>
      </c>
      <c r="G116" s="106">
        <v>0.25</v>
      </c>
      <c r="H116" s="104"/>
      <c r="I116" s="104"/>
      <c r="J116" s="110"/>
      <c r="K116" s="110"/>
      <c r="L116" s="110"/>
      <c r="M116" s="110"/>
      <c r="N116" s="104"/>
      <c r="O116" s="104"/>
      <c r="P116" s="104"/>
      <c r="Q116" s="104"/>
      <c r="R116" s="104"/>
      <c r="S116" s="104"/>
      <c r="T116" s="104"/>
      <c r="U116" s="104"/>
      <c r="V116" s="104"/>
      <c r="W116" s="104"/>
      <c r="X116" s="104"/>
      <c r="Y116" s="104"/>
    </row>
    <row r="117" spans="2:25" ht="15">
      <c r="B117" t="s">
        <v>191</v>
      </c>
      <c r="C117" s="19"/>
      <c r="D117" s="104"/>
      <c r="E117" s="104"/>
      <c r="F117" s="104"/>
      <c r="G117" s="107">
        <v>1</v>
      </c>
      <c r="H117" s="104"/>
      <c r="I117" s="104"/>
      <c r="J117" s="110"/>
      <c r="K117" s="110"/>
      <c r="L117" s="110"/>
      <c r="M117" s="110"/>
      <c r="N117" s="104"/>
      <c r="O117" s="104"/>
      <c r="P117" s="104"/>
      <c r="Q117" s="104"/>
      <c r="R117" s="104"/>
      <c r="S117" s="104"/>
      <c r="T117" s="104"/>
      <c r="U117" s="104"/>
      <c r="V117" s="104"/>
      <c r="W117" s="104"/>
      <c r="X117" s="104"/>
      <c r="Y117" s="104"/>
    </row>
    <row r="118" spans="3:25" ht="15">
      <c r="C118" s="19"/>
      <c r="D118" s="104"/>
      <c r="E118" s="104"/>
      <c r="F118" s="104"/>
      <c r="G118" s="104"/>
      <c r="H118" s="104"/>
      <c r="I118" s="104"/>
      <c r="J118" s="110"/>
      <c r="K118" s="110"/>
      <c r="L118" s="110"/>
      <c r="M118" s="110"/>
      <c r="N118" s="104"/>
      <c r="O118" s="104"/>
      <c r="P118" s="104"/>
      <c r="Q118" s="104"/>
      <c r="R118" s="104"/>
      <c r="S118" s="104"/>
      <c r="T118" s="104"/>
      <c r="U118" s="104"/>
      <c r="V118" s="104"/>
      <c r="W118" s="104"/>
      <c r="X118" s="104"/>
      <c r="Y118" s="104"/>
    </row>
    <row r="119" spans="2:25" ht="15">
      <c r="B119" t="s">
        <v>133</v>
      </c>
      <c r="C119" s="19"/>
      <c r="D119" s="105">
        <f>$C100*D112</f>
        <v>139285374.525</v>
      </c>
      <c r="E119" s="105">
        <f>$C100*E112</f>
        <v>309523054.5</v>
      </c>
      <c r="F119" s="105">
        <f>$C100*F112</f>
        <v>309523054.5</v>
      </c>
      <c r="G119" s="105">
        <f>$C100*G112</f>
        <v>68782901</v>
      </c>
      <c r="H119" s="104"/>
      <c r="I119" s="104"/>
      <c r="J119" s="110"/>
      <c r="K119" s="110"/>
      <c r="L119" s="110"/>
      <c r="M119" s="110"/>
      <c r="N119" s="104"/>
      <c r="O119" s="104"/>
      <c r="P119" s="104"/>
      <c r="Q119" s="104"/>
      <c r="R119" s="104"/>
      <c r="S119" s="104"/>
      <c r="T119" s="104"/>
      <c r="U119" s="104"/>
      <c r="V119" s="104"/>
      <c r="W119" s="104"/>
      <c r="X119" s="104"/>
      <c r="Y119" s="104"/>
    </row>
    <row r="120" spans="2:25" ht="15">
      <c r="B120" t="s">
        <v>136</v>
      </c>
      <c r="C120" s="19"/>
      <c r="D120" s="105">
        <f>$C101*D113</f>
        <v>23382929.7</v>
      </c>
      <c r="E120" s="105">
        <f>$C101*E113</f>
        <v>51962066</v>
      </c>
      <c r="F120" s="105">
        <f>$C101*F113</f>
        <v>51962066</v>
      </c>
      <c r="G120" s="105">
        <f>$C101*G113</f>
        <v>0</v>
      </c>
      <c r="H120" s="104"/>
      <c r="I120" s="104"/>
      <c r="J120" s="110"/>
      <c r="K120" s="110"/>
      <c r="L120" s="110"/>
      <c r="M120" s="110"/>
      <c r="N120" s="104"/>
      <c r="O120" s="104"/>
      <c r="P120" s="104"/>
      <c r="Q120" s="104"/>
      <c r="R120" s="104"/>
      <c r="S120" s="104"/>
      <c r="T120" s="104"/>
      <c r="U120" s="104"/>
      <c r="V120" s="104"/>
      <c r="W120" s="104"/>
      <c r="X120" s="104"/>
      <c r="Y120" s="104"/>
    </row>
    <row r="121" spans="2:25" ht="15">
      <c r="B121" t="s">
        <v>138</v>
      </c>
      <c r="C121" s="19"/>
      <c r="D121" s="105">
        <f>$C102*D114</f>
        <v>350486253</v>
      </c>
      <c r="E121" s="105">
        <f>$C102*E114</f>
        <v>778858340</v>
      </c>
      <c r="F121" s="105">
        <f>$C102*F114</f>
        <v>778858340</v>
      </c>
      <c r="G121" s="105">
        <f>$C102*G114</f>
        <v>0</v>
      </c>
      <c r="H121" s="104"/>
      <c r="I121" s="104"/>
      <c r="J121" s="110"/>
      <c r="K121" s="110"/>
      <c r="L121" s="110"/>
      <c r="M121" s="110"/>
      <c r="N121" s="104"/>
      <c r="O121" s="104"/>
      <c r="P121" s="104"/>
      <c r="Q121" s="104"/>
      <c r="R121" s="104"/>
      <c r="S121" s="104"/>
      <c r="T121" s="104"/>
      <c r="U121" s="104"/>
      <c r="V121" s="104"/>
      <c r="W121" s="104"/>
      <c r="X121" s="104"/>
      <c r="Y121" s="104"/>
    </row>
    <row r="122" spans="2:25" ht="15">
      <c r="B122" t="s">
        <v>176</v>
      </c>
      <c r="C122" s="19"/>
      <c r="D122" s="105">
        <f>$C103*D115</f>
        <v>50187896.46000001</v>
      </c>
      <c r="E122" s="105">
        <f>$C103*E115</f>
        <v>111528658.80000001</v>
      </c>
      <c r="F122" s="105">
        <f>$C103*F115</f>
        <v>111528658.80000001</v>
      </c>
      <c r="G122" s="105">
        <f>$C103*G115</f>
        <v>334585976.4</v>
      </c>
      <c r="H122" s="104"/>
      <c r="I122" s="104"/>
      <c r="J122" s="110"/>
      <c r="K122" s="110"/>
      <c r="L122" s="110"/>
      <c r="M122" s="110"/>
      <c r="N122" s="104"/>
      <c r="O122" s="104"/>
      <c r="P122" s="104"/>
      <c r="Q122" s="104"/>
      <c r="R122" s="104"/>
      <c r="S122" s="104"/>
      <c r="T122" s="104"/>
      <c r="U122" s="104"/>
      <c r="V122" s="104"/>
      <c r="W122" s="104"/>
      <c r="X122" s="104"/>
      <c r="Y122" s="104"/>
    </row>
    <row r="123" spans="2:25" ht="15">
      <c r="B123" t="s">
        <v>140</v>
      </c>
      <c r="C123" s="19"/>
      <c r="D123" s="105">
        <f>$C104*D116</f>
        <v>195418037.70000002</v>
      </c>
      <c r="E123" s="105">
        <f>$C104*E116</f>
        <v>434262306</v>
      </c>
      <c r="F123" s="105">
        <f>$C104*F116</f>
        <v>434262306</v>
      </c>
      <c r="G123" s="105">
        <f>$C104*G116</f>
        <v>289508204</v>
      </c>
      <c r="H123" s="104"/>
      <c r="I123" s="104"/>
      <c r="J123" s="110"/>
      <c r="K123" s="110"/>
      <c r="L123" s="110"/>
      <c r="M123" s="110"/>
      <c r="N123" s="104"/>
      <c r="O123" s="104"/>
      <c r="P123" s="104"/>
      <c r="Q123" s="104"/>
      <c r="R123" s="104"/>
      <c r="S123" s="104"/>
      <c r="T123" s="104"/>
      <c r="U123" s="104"/>
      <c r="V123" s="104"/>
      <c r="W123" s="104"/>
      <c r="X123" s="104"/>
      <c r="Y123" s="104"/>
    </row>
    <row r="124" spans="2:25" ht="15">
      <c r="B124" t="s">
        <v>180</v>
      </c>
      <c r="C124" s="19"/>
      <c r="D124" s="109">
        <f>$C107*D117</f>
        <v>0</v>
      </c>
      <c r="E124" s="109">
        <f>$C107*E117</f>
        <v>0</v>
      </c>
      <c r="F124" s="109">
        <f>$C107*F117</f>
        <v>0</v>
      </c>
      <c r="G124" s="109">
        <f>$C107*G117</f>
        <v>1212961900</v>
      </c>
      <c r="H124" s="104"/>
      <c r="I124" s="104"/>
      <c r="J124" s="110"/>
      <c r="K124" s="110"/>
      <c r="L124" s="110"/>
      <c r="M124" s="110"/>
      <c r="N124" s="104"/>
      <c r="O124" s="104"/>
      <c r="P124" s="104"/>
      <c r="Q124" s="104"/>
      <c r="R124" s="104"/>
      <c r="S124" s="104"/>
      <c r="T124" s="104"/>
      <c r="U124" s="104"/>
      <c r="V124" s="104"/>
      <c r="W124" s="104"/>
      <c r="X124" s="104"/>
      <c r="Y124" s="104"/>
    </row>
    <row r="125" spans="2:25" ht="15">
      <c r="B125" t="s">
        <v>192</v>
      </c>
      <c r="C125" s="19"/>
      <c r="D125" s="105">
        <f>SUM(D119:D124)</f>
        <v>758760491.3850001</v>
      </c>
      <c r="E125" s="105">
        <f>SUM(E119:E124)</f>
        <v>1686134425.3</v>
      </c>
      <c r="F125" s="105">
        <f>SUM(F119:F124)</f>
        <v>1686134425.3</v>
      </c>
      <c r="G125" s="105">
        <f>SUM(G119:G124)</f>
        <v>1905838981.4</v>
      </c>
      <c r="H125" s="104"/>
      <c r="I125" s="104"/>
      <c r="J125" s="110"/>
      <c r="K125" s="110"/>
      <c r="L125" s="110"/>
      <c r="M125" s="110"/>
      <c r="N125" s="104"/>
      <c r="O125" s="104"/>
      <c r="P125" s="104"/>
      <c r="Q125" s="104"/>
      <c r="R125" s="104"/>
      <c r="S125" s="104"/>
      <c r="T125" s="104"/>
      <c r="U125" s="104"/>
      <c r="V125" s="104"/>
      <c r="W125" s="104"/>
      <c r="X125" s="104"/>
      <c r="Y125" s="104"/>
    </row>
    <row r="126" spans="3:25" ht="15">
      <c r="C126" s="19"/>
      <c r="D126" s="104"/>
      <c r="E126" s="104"/>
      <c r="F126" s="104"/>
      <c r="G126" s="104"/>
      <c r="H126" s="104"/>
      <c r="I126" s="104"/>
      <c r="J126" s="104"/>
      <c r="K126" s="110"/>
      <c r="L126" s="110"/>
      <c r="M126" s="110"/>
      <c r="N126" s="110"/>
      <c r="O126" s="104"/>
      <c r="P126" s="104"/>
      <c r="Q126" s="104"/>
      <c r="R126" s="104"/>
      <c r="S126" s="104"/>
      <c r="T126" s="104"/>
      <c r="U126" s="104"/>
      <c r="V126" s="104"/>
      <c r="W126" s="104"/>
      <c r="X126" s="104"/>
      <c r="Y126" s="104"/>
    </row>
    <row r="127" spans="2:25" ht="15">
      <c r="B127" t="s">
        <v>233</v>
      </c>
      <c r="C127" s="19"/>
      <c r="D127" s="104"/>
      <c r="E127" s="104"/>
      <c r="F127" s="104"/>
      <c r="G127" s="104"/>
      <c r="H127" s="104"/>
      <c r="I127" s="104"/>
      <c r="J127" s="104"/>
      <c r="K127" s="110"/>
      <c r="L127" s="110"/>
      <c r="M127" s="110"/>
      <c r="N127" s="110"/>
      <c r="O127" s="104"/>
      <c r="P127" s="104"/>
      <c r="Q127" s="104"/>
      <c r="R127" s="104"/>
      <c r="S127" s="104"/>
      <c r="T127" s="104"/>
      <c r="U127" s="104"/>
      <c r="V127" s="104"/>
      <c r="W127" s="104"/>
      <c r="X127" s="104"/>
      <c r="Y127" s="104"/>
    </row>
    <row r="128" spans="2:25" ht="15">
      <c r="B128" t="s">
        <v>231</v>
      </c>
      <c r="C128" s="123">
        <f>BA_Data_Simulation!L12</f>
        <v>2400950528</v>
      </c>
      <c r="D128" s="104"/>
      <c r="E128" s="104"/>
      <c r="F128" s="104"/>
      <c r="G128" s="104"/>
      <c r="H128" s="104"/>
      <c r="I128" s="104"/>
      <c r="J128" s="104"/>
      <c r="K128" s="110"/>
      <c r="L128" s="110"/>
      <c r="M128" s="110"/>
      <c r="N128" s="110"/>
      <c r="O128" s="104"/>
      <c r="P128" s="104"/>
      <c r="Q128" s="104"/>
      <c r="R128" s="104"/>
      <c r="S128" s="104"/>
      <c r="T128" s="104"/>
      <c r="U128" s="104"/>
      <c r="V128" s="104"/>
      <c r="W128" s="104"/>
      <c r="X128" s="104"/>
      <c r="Y128" s="104"/>
    </row>
    <row r="129" spans="2:25" ht="15">
      <c r="B129" t="s">
        <v>232</v>
      </c>
      <c r="C129" s="124">
        <f>BA_Data_Simulation!L28</f>
        <v>326763449</v>
      </c>
      <c r="D129" s="104"/>
      <c r="E129" s="104"/>
      <c r="F129" s="104"/>
      <c r="G129" s="104"/>
      <c r="H129" s="104"/>
      <c r="I129" s="104"/>
      <c r="J129" s="104"/>
      <c r="K129" s="110"/>
      <c r="L129" s="110"/>
      <c r="M129" s="110"/>
      <c r="N129" s="110"/>
      <c r="O129" s="104"/>
      <c r="P129" s="104"/>
      <c r="Q129" s="104"/>
      <c r="R129" s="104"/>
      <c r="S129" s="104"/>
      <c r="T129" s="104"/>
      <c r="U129" s="104"/>
      <c r="V129" s="104"/>
      <c r="W129" s="104"/>
      <c r="X129" s="104"/>
      <c r="Y129" s="104"/>
    </row>
    <row r="130" spans="2:25" ht="15">
      <c r="B130" t="s">
        <v>236</v>
      </c>
      <c r="C130" s="105">
        <f>SUM(C128:C129)</f>
        <v>2727713977</v>
      </c>
      <c r="D130" s="104"/>
      <c r="E130" s="104"/>
      <c r="F130" s="104"/>
      <c r="G130" s="104"/>
      <c r="H130" s="104"/>
      <c r="I130" s="104"/>
      <c r="J130" s="104"/>
      <c r="K130" s="110"/>
      <c r="L130" s="110"/>
      <c r="M130" s="110"/>
      <c r="N130" s="110"/>
      <c r="O130" s="104"/>
      <c r="P130" s="104"/>
      <c r="Q130" s="104"/>
      <c r="R130" s="104"/>
      <c r="S130" s="104"/>
      <c r="T130" s="104"/>
      <c r="U130" s="104"/>
      <c r="V130" s="104"/>
      <c r="W130" s="104"/>
      <c r="X130" s="104"/>
      <c r="Y130" s="104"/>
    </row>
    <row r="131" spans="3:25" ht="15">
      <c r="C131" s="19"/>
      <c r="D131" s="104"/>
      <c r="E131" s="104"/>
      <c r="F131" s="104"/>
      <c r="G131" s="104"/>
      <c r="H131" s="104"/>
      <c r="I131" s="104"/>
      <c r="J131" s="104"/>
      <c r="K131" s="110"/>
      <c r="L131" s="110"/>
      <c r="M131" s="110"/>
      <c r="N131" s="110"/>
      <c r="O131" s="104"/>
      <c r="P131" s="104"/>
      <c r="Q131" s="104"/>
      <c r="R131" s="104"/>
      <c r="S131" s="104"/>
      <c r="T131" s="104"/>
      <c r="U131" s="104"/>
      <c r="V131" s="104"/>
      <c r="W131" s="104"/>
      <c r="X131" s="104"/>
      <c r="Y131" s="104"/>
    </row>
    <row r="132" spans="2:25" ht="15">
      <c r="B132" t="s">
        <v>240</v>
      </c>
      <c r="C132" s="105">
        <f>C108-C130</f>
        <v>4751017652</v>
      </c>
      <c r="D132" s="104"/>
      <c r="E132" s="104"/>
      <c r="F132" s="104"/>
      <c r="G132" s="104"/>
      <c r="H132" s="104"/>
      <c r="I132" s="104"/>
      <c r="J132" s="104"/>
      <c r="K132" s="110"/>
      <c r="L132" s="110"/>
      <c r="M132" s="110"/>
      <c r="N132" s="110"/>
      <c r="O132" s="104"/>
      <c r="P132" s="104"/>
      <c r="Q132" s="104"/>
      <c r="R132" s="104"/>
      <c r="S132" s="104"/>
      <c r="T132" s="104"/>
      <c r="U132" s="104"/>
      <c r="V132" s="104"/>
      <c r="W132" s="104"/>
      <c r="X132" s="104"/>
      <c r="Y132" s="104"/>
    </row>
    <row r="133" spans="2:25" ht="15">
      <c r="B133" t="s">
        <v>243</v>
      </c>
      <c r="C133" s="118">
        <f>C132/[0]!exrate</f>
        <v>61701527.948051944</v>
      </c>
      <c r="D133" s="104"/>
      <c r="E133" s="104"/>
      <c r="F133" s="104"/>
      <c r="G133" s="104"/>
      <c r="H133" s="104"/>
      <c r="I133" s="104"/>
      <c r="J133" s="104"/>
      <c r="K133" s="110"/>
      <c r="L133" s="110"/>
      <c r="M133" s="110"/>
      <c r="N133" s="110"/>
      <c r="O133" s="104"/>
      <c r="P133" s="104"/>
      <c r="Q133" s="104"/>
      <c r="R133" s="104"/>
      <c r="S133" s="104"/>
      <c r="T133" s="104"/>
      <c r="U133" s="104"/>
      <c r="V133" s="104"/>
      <c r="W133" s="104"/>
      <c r="X133" s="104"/>
      <c r="Y133" s="104"/>
    </row>
    <row r="134" spans="3:25" ht="15">
      <c r="C134" s="19"/>
      <c r="D134" s="104"/>
      <c r="E134" s="104"/>
      <c r="F134" s="104"/>
      <c r="G134" s="104"/>
      <c r="H134" s="104"/>
      <c r="I134" s="104"/>
      <c r="J134" s="104"/>
      <c r="K134" s="110"/>
      <c r="L134" s="110"/>
      <c r="M134" s="110"/>
      <c r="N134" s="110"/>
      <c r="O134" s="104"/>
      <c r="P134" s="104"/>
      <c r="Q134" s="104"/>
      <c r="R134" s="104"/>
      <c r="S134" s="104"/>
      <c r="T134" s="104"/>
      <c r="U134" s="104"/>
      <c r="V134" s="104"/>
      <c r="W134" s="104"/>
      <c r="X134" s="104"/>
      <c r="Y134" s="104"/>
    </row>
    <row r="135" spans="3:25" ht="15">
      <c r="C135" s="19"/>
      <c r="D135" t="s">
        <v>148</v>
      </c>
      <c r="H135" s="104"/>
      <c r="I135" s="104"/>
      <c r="J135" s="104"/>
      <c r="K135" s="110"/>
      <c r="L135" s="110"/>
      <c r="M135" s="110"/>
      <c r="N135" s="110"/>
      <c r="O135" s="104"/>
      <c r="P135" s="104"/>
      <c r="Q135" s="104"/>
      <c r="R135" s="104"/>
      <c r="S135" s="104"/>
      <c r="T135" s="104"/>
      <c r="U135" s="104"/>
      <c r="V135" s="104"/>
      <c r="W135" s="104"/>
      <c r="X135" s="104"/>
      <c r="Y135" s="104"/>
    </row>
    <row r="136" spans="2:25" ht="15">
      <c r="B136" t="s">
        <v>234</v>
      </c>
      <c r="C136" s="19"/>
      <c r="D136" s="108" t="s">
        <v>149</v>
      </c>
      <c r="E136" s="108" t="s">
        <v>150</v>
      </c>
      <c r="F136" s="108" t="s">
        <v>151</v>
      </c>
      <c r="G136" s="108" t="s">
        <v>152</v>
      </c>
      <c r="H136" s="104"/>
      <c r="I136" s="104"/>
      <c r="J136" s="104"/>
      <c r="K136" s="110"/>
      <c r="L136" s="110"/>
      <c r="M136" s="110"/>
      <c r="N136" s="110"/>
      <c r="O136" s="104"/>
      <c r="P136" s="104"/>
      <c r="Q136" s="104"/>
      <c r="R136" s="104"/>
      <c r="S136" s="104"/>
      <c r="T136" s="104"/>
      <c r="U136" s="104"/>
      <c r="V136" s="104"/>
      <c r="W136" s="104"/>
      <c r="X136" s="104"/>
      <c r="Y136" s="104"/>
    </row>
    <row r="137" spans="2:25" ht="15">
      <c r="B137" t="s">
        <v>231</v>
      </c>
      <c r="C137" s="19"/>
      <c r="D137" s="105">
        <f>$C128*J91</f>
        <v>392688195.6655826</v>
      </c>
      <c r="E137" s="105">
        <f>$C128*K91</f>
        <v>872640434.8124057</v>
      </c>
      <c r="F137" s="105">
        <f>$C128*L91</f>
        <v>872640434.8124057</v>
      </c>
      <c r="G137" s="105">
        <f>$C128*M91</f>
        <v>655669658.3751887</v>
      </c>
      <c r="H137" s="104"/>
      <c r="I137" s="104"/>
      <c r="J137" s="104"/>
      <c r="K137" s="110"/>
      <c r="L137" s="110"/>
      <c r="M137" s="110"/>
      <c r="N137" s="110"/>
      <c r="O137" s="104"/>
      <c r="P137" s="104"/>
      <c r="Q137" s="104"/>
      <c r="R137" s="104"/>
      <c r="S137" s="104"/>
      <c r="T137" s="104"/>
      <c r="U137" s="104"/>
      <c r="V137" s="104"/>
      <c r="W137" s="104"/>
      <c r="X137" s="104"/>
      <c r="Y137" s="104"/>
    </row>
    <row r="138" spans="2:25" ht="15">
      <c r="B138" t="s">
        <v>232</v>
      </c>
      <c r="C138" s="19"/>
      <c r="D138" s="15">
        <f>$C129*J91</f>
        <v>53443895.53255827</v>
      </c>
      <c r="E138" s="15">
        <f>$C129*K91</f>
        <v>118764212.29457392</v>
      </c>
      <c r="F138" s="15">
        <f>$C129*L91</f>
        <v>118764212.29457392</v>
      </c>
      <c r="G138" s="15">
        <f>$C129*M91</f>
        <v>89235024.41085216</v>
      </c>
      <c r="H138" s="104"/>
      <c r="I138" s="104"/>
      <c r="J138" s="104"/>
      <c r="K138" s="110"/>
      <c r="L138" s="110"/>
      <c r="M138" s="110"/>
      <c r="N138" s="110"/>
      <c r="O138" s="104"/>
      <c r="P138" s="104"/>
      <c r="Q138" s="104"/>
      <c r="R138" s="104"/>
      <c r="S138" s="104"/>
      <c r="T138" s="104"/>
      <c r="U138" s="104"/>
      <c r="V138" s="104"/>
      <c r="W138" s="104"/>
      <c r="X138" s="104"/>
      <c r="Y138" s="104"/>
    </row>
    <row r="139" spans="2:25" ht="15">
      <c r="B139" t="s">
        <v>7</v>
      </c>
      <c r="C139" s="19"/>
      <c r="D139" s="105">
        <f>D137+D138</f>
        <v>446132091.19814086</v>
      </c>
      <c r="E139" s="105">
        <f>E137+E138</f>
        <v>991404647.1069796</v>
      </c>
      <c r="F139" s="105">
        <f>F137+F138</f>
        <v>991404647.1069796</v>
      </c>
      <c r="G139" s="105">
        <f>G137+G138</f>
        <v>744904682.7860409</v>
      </c>
      <c r="H139" s="104"/>
      <c r="I139" s="104"/>
      <c r="J139" s="104"/>
      <c r="K139" s="110"/>
      <c r="L139" s="110"/>
      <c r="M139" s="110"/>
      <c r="N139" s="110"/>
      <c r="O139" s="104"/>
      <c r="P139" s="104"/>
      <c r="Q139" s="104"/>
      <c r="R139" s="104"/>
      <c r="S139" s="104"/>
      <c r="T139" s="104"/>
      <c r="U139" s="104"/>
      <c r="V139" s="104"/>
      <c r="W139" s="104"/>
      <c r="X139" s="104"/>
      <c r="Y139" s="104"/>
    </row>
    <row r="140" spans="3:25" ht="15">
      <c r="C140" s="19"/>
      <c r="D140" s="104"/>
      <c r="E140" s="104"/>
      <c r="F140" s="104"/>
      <c r="G140" s="104"/>
      <c r="H140" s="104"/>
      <c r="I140" s="104"/>
      <c r="J140" s="104"/>
      <c r="K140" s="110"/>
      <c r="L140" s="110"/>
      <c r="M140" s="110"/>
      <c r="N140" s="110"/>
      <c r="O140" s="104"/>
      <c r="P140" s="104"/>
      <c r="Q140" s="104"/>
      <c r="R140" s="104"/>
      <c r="S140" s="104"/>
      <c r="T140" s="104"/>
      <c r="U140" s="104"/>
      <c r="V140" s="104"/>
      <c r="W140" s="104"/>
      <c r="X140" s="104"/>
      <c r="Y140" s="104"/>
    </row>
    <row r="141" spans="2:25" ht="15">
      <c r="B141" t="s">
        <v>202</v>
      </c>
      <c r="D141" s="104"/>
      <c r="E141" s="104"/>
      <c r="F141" s="104"/>
      <c r="G141" s="104"/>
      <c r="H141" s="104"/>
      <c r="I141" s="104"/>
      <c r="J141" s="104"/>
      <c r="K141" s="110"/>
      <c r="L141" s="110"/>
      <c r="M141" s="110"/>
      <c r="N141" s="110"/>
      <c r="O141" s="104"/>
      <c r="P141" s="104"/>
      <c r="Q141" s="104"/>
      <c r="R141" s="104"/>
      <c r="S141" s="104"/>
      <c r="T141" s="104"/>
      <c r="U141" s="104"/>
      <c r="V141" s="104"/>
      <c r="W141" s="104"/>
      <c r="X141" s="104"/>
      <c r="Y141" s="104"/>
    </row>
    <row r="142" spans="2:25" ht="15">
      <c r="B142" t="s">
        <v>193</v>
      </c>
      <c r="C142" s="122">
        <f>BA_Data_Simulation!D12</f>
        <v>446</v>
      </c>
      <c r="D142" s="104"/>
      <c r="E142" s="104"/>
      <c r="F142" s="104"/>
      <c r="G142" s="104"/>
      <c r="H142" s="104"/>
      <c r="M142" s="110"/>
      <c r="N142" s="110"/>
      <c r="O142" s="104"/>
      <c r="P142" s="104"/>
      <c r="Q142" s="104"/>
      <c r="R142" s="104"/>
      <c r="S142" s="104"/>
      <c r="T142" s="104"/>
      <c r="U142" s="104"/>
      <c r="V142" s="104"/>
      <c r="W142" s="104"/>
      <c r="X142" s="104"/>
      <c r="Y142" s="104"/>
    </row>
    <row r="143" spans="2:25" ht="15">
      <c r="B143" t="s">
        <v>187</v>
      </c>
      <c r="C143" s="122">
        <f>BA_Data_Simulation!D28</f>
        <v>67</v>
      </c>
      <c r="D143" s="104"/>
      <c r="E143" s="104"/>
      <c r="F143" s="104"/>
      <c r="G143" s="104"/>
      <c r="H143" s="104"/>
      <c r="M143" s="110"/>
      <c r="N143" s="110"/>
      <c r="O143" s="104"/>
      <c r="P143" s="104"/>
      <c r="Q143" s="104"/>
      <c r="R143" s="104"/>
      <c r="S143" s="104"/>
      <c r="T143" s="104"/>
      <c r="U143" s="104"/>
      <c r="V143" s="104"/>
      <c r="W143" s="104"/>
      <c r="X143" s="104"/>
      <c r="Y143" s="104"/>
    </row>
    <row r="144" spans="2:25" ht="15">
      <c r="B144" t="s">
        <v>194</v>
      </c>
      <c r="C144" s="122">
        <f>BA_Data_Simulation!D44</f>
        <v>1011</v>
      </c>
      <c r="D144" s="104"/>
      <c r="E144" s="104"/>
      <c r="F144" s="104"/>
      <c r="G144" s="104"/>
      <c r="H144" s="104"/>
      <c r="M144" s="110"/>
      <c r="N144" s="110"/>
      <c r="O144" s="104"/>
      <c r="P144" s="104"/>
      <c r="Q144" s="104"/>
      <c r="R144" s="104"/>
      <c r="S144" s="104"/>
      <c r="T144" s="104"/>
      <c r="U144" s="104"/>
      <c r="V144" s="104"/>
      <c r="W144" s="104"/>
      <c r="X144" s="104"/>
      <c r="Y144" s="104"/>
    </row>
    <row r="145" spans="2:25" ht="15">
      <c r="B145" t="s">
        <v>189</v>
      </c>
      <c r="C145" s="122">
        <f>BA_Data_Simulation!D60</f>
        <v>327</v>
      </c>
      <c r="D145" s="104"/>
      <c r="E145" s="104"/>
      <c r="F145" s="104"/>
      <c r="G145" s="104"/>
      <c r="H145" s="104"/>
      <c r="M145" s="110"/>
      <c r="N145" s="110"/>
      <c r="O145" s="104"/>
      <c r="P145" s="104"/>
      <c r="Q145" s="104"/>
      <c r="R145" s="104"/>
      <c r="S145" s="104"/>
      <c r="T145" s="104"/>
      <c r="U145" s="104"/>
      <c r="V145" s="104"/>
      <c r="W145" s="104"/>
      <c r="X145" s="104"/>
      <c r="Y145" s="104"/>
    </row>
    <row r="146" spans="2:25" ht="15">
      <c r="B146" t="s">
        <v>190</v>
      </c>
      <c r="C146" s="122">
        <f>BA_Data_Simulation!D76</f>
        <v>769</v>
      </c>
      <c r="D146" s="104"/>
      <c r="E146" s="104"/>
      <c r="F146" s="104"/>
      <c r="G146" s="104"/>
      <c r="H146" s="104"/>
      <c r="M146" s="110"/>
      <c r="N146" s="110"/>
      <c r="O146" s="104"/>
      <c r="P146" s="104"/>
      <c r="Q146" s="104"/>
      <c r="R146" s="104"/>
      <c r="S146" s="104"/>
      <c r="T146" s="104"/>
      <c r="U146" s="104"/>
      <c r="V146" s="104"/>
      <c r="W146" s="104"/>
      <c r="X146" s="104"/>
      <c r="Y146" s="104"/>
    </row>
    <row r="147" spans="3:25" ht="15">
      <c r="C147" s="19"/>
      <c r="D147" s="104"/>
      <c r="E147" s="104"/>
      <c r="F147" s="104"/>
      <c r="G147" s="104"/>
      <c r="H147" s="104"/>
      <c r="M147" s="110"/>
      <c r="N147" s="110"/>
      <c r="O147" s="104"/>
      <c r="P147" s="104"/>
      <c r="Q147" s="104"/>
      <c r="R147" s="104"/>
      <c r="S147" s="104"/>
      <c r="T147" s="104"/>
      <c r="U147" s="104"/>
      <c r="V147" s="104"/>
      <c r="W147" s="104"/>
      <c r="X147" s="104"/>
      <c r="Y147" s="104"/>
    </row>
    <row r="148" spans="2:25" ht="15">
      <c r="B148" t="s">
        <v>203</v>
      </c>
      <c r="C148" s="19"/>
      <c r="D148" s="104"/>
      <c r="E148" s="104"/>
      <c r="F148" s="104"/>
      <c r="G148" s="104"/>
      <c r="H148" s="104"/>
      <c r="M148" s="110"/>
      <c r="N148" s="110"/>
      <c r="O148" s="104"/>
      <c r="P148" s="104"/>
      <c r="Q148" s="104"/>
      <c r="R148" s="104"/>
      <c r="S148" s="104"/>
      <c r="T148" s="104"/>
      <c r="U148" s="104"/>
      <c r="V148" s="104"/>
      <c r="W148" s="104"/>
      <c r="X148" s="104"/>
      <c r="Y148" s="104"/>
    </row>
    <row r="149" spans="2:25" ht="15">
      <c r="B149" t="s">
        <v>197</v>
      </c>
      <c r="C149" s="19">
        <f>(C143+C144)/5</f>
        <v>215.6</v>
      </c>
      <c r="D149" s="104"/>
      <c r="E149" s="104"/>
      <c r="F149" s="104"/>
      <c r="G149" s="104"/>
      <c r="H149" s="104"/>
      <c r="M149" s="110"/>
      <c r="N149" s="110"/>
      <c r="O149" s="104"/>
      <c r="P149" s="104"/>
      <c r="Q149" s="104"/>
      <c r="R149" s="104"/>
      <c r="S149" s="104"/>
      <c r="T149" s="104"/>
      <c r="U149" s="104"/>
      <c r="V149" s="104"/>
      <c r="W149" s="104"/>
      <c r="X149" s="104"/>
      <c r="Y149" s="104"/>
    </row>
    <row r="150" spans="2:25" ht="15">
      <c r="B150" t="s">
        <v>199</v>
      </c>
      <c r="C150" s="19">
        <v>1</v>
      </c>
      <c r="D150" s="104"/>
      <c r="E150" s="104"/>
      <c r="F150" s="104"/>
      <c r="G150" s="104"/>
      <c r="H150" s="104"/>
      <c r="M150" s="110"/>
      <c r="N150" s="110"/>
      <c r="O150" s="104"/>
      <c r="P150" s="104"/>
      <c r="Q150" s="104"/>
      <c r="R150" s="104"/>
      <c r="S150" s="104"/>
      <c r="T150" s="104"/>
      <c r="U150" s="104"/>
      <c r="V150" s="104"/>
      <c r="W150" s="104"/>
      <c r="X150" s="104"/>
      <c r="Y150" s="104"/>
    </row>
    <row r="151" spans="2:25" ht="15">
      <c r="B151" t="s">
        <v>200</v>
      </c>
      <c r="C151" s="19">
        <v>120</v>
      </c>
      <c r="D151" s="104"/>
      <c r="E151" s="104"/>
      <c r="F151" s="104"/>
      <c r="G151" s="104"/>
      <c r="H151" s="104"/>
      <c r="M151" s="110"/>
      <c r="N151" s="110"/>
      <c r="O151" s="104"/>
      <c r="P151" s="104"/>
      <c r="Q151" s="104"/>
      <c r="R151" s="104"/>
      <c r="S151" s="104"/>
      <c r="T151" s="104"/>
      <c r="U151" s="104"/>
      <c r="V151" s="104"/>
      <c r="W151" s="104"/>
      <c r="X151" s="104"/>
      <c r="Y151" s="104"/>
    </row>
    <row r="152" spans="2:25" ht="15">
      <c r="B152" t="s">
        <v>204</v>
      </c>
      <c r="C152" s="111">
        <v>25</v>
      </c>
      <c r="D152" s="104"/>
      <c r="E152" s="104"/>
      <c r="F152" s="104"/>
      <c r="G152" s="104"/>
      <c r="H152" s="104"/>
      <c r="M152" s="110"/>
      <c r="N152" s="110"/>
      <c r="O152" s="104"/>
      <c r="P152" s="104"/>
      <c r="Q152" s="104"/>
      <c r="R152" s="104"/>
      <c r="S152" s="104"/>
      <c r="T152" s="104"/>
      <c r="U152" s="104"/>
      <c r="V152" s="104"/>
      <c r="W152" s="104"/>
      <c r="X152" s="104"/>
      <c r="Y152" s="104"/>
    </row>
    <row r="153" spans="2:25" ht="15">
      <c r="B153" t="s">
        <v>182</v>
      </c>
      <c r="C153" s="19">
        <f>SUM(C149:C152)</f>
        <v>361.6</v>
      </c>
      <c r="D153" s="104"/>
      <c r="E153" s="104"/>
      <c r="F153" s="104"/>
      <c r="G153" s="104"/>
      <c r="H153" s="104"/>
      <c r="M153" s="110"/>
      <c r="N153" s="110"/>
      <c r="O153" s="104"/>
      <c r="P153" s="104"/>
      <c r="Q153" s="104"/>
      <c r="R153" s="104"/>
      <c r="S153" s="104"/>
      <c r="T153" s="104"/>
      <c r="U153" s="104"/>
      <c r="V153" s="104"/>
      <c r="W153" s="104"/>
      <c r="X153" s="104"/>
      <c r="Y153" s="104"/>
    </row>
    <row r="154" spans="3:25" ht="15">
      <c r="C154" s="19"/>
      <c r="D154" s="104"/>
      <c r="E154" s="104"/>
      <c r="F154" s="104"/>
      <c r="G154" s="104"/>
      <c r="H154" s="104"/>
      <c r="M154" s="110"/>
      <c r="N154" s="110"/>
      <c r="O154" s="104"/>
      <c r="P154" s="104"/>
      <c r="Q154" s="104"/>
      <c r="R154" s="104"/>
      <c r="S154" s="104"/>
      <c r="T154" s="104"/>
      <c r="U154" s="104"/>
      <c r="V154" s="104"/>
      <c r="W154" s="104"/>
      <c r="X154" s="104"/>
      <c r="Y154" s="104"/>
    </row>
    <row r="155" spans="2:25" ht="15">
      <c r="B155" t="s">
        <v>205</v>
      </c>
      <c r="C155" s="19"/>
      <c r="D155" t="s">
        <v>148</v>
      </c>
      <c r="M155" s="110"/>
      <c r="N155" s="110"/>
      <c r="O155" s="104"/>
      <c r="P155" s="104"/>
      <c r="Q155" s="104"/>
      <c r="R155" s="104"/>
      <c r="S155" s="104"/>
      <c r="T155" s="104"/>
      <c r="U155" s="104"/>
      <c r="V155" s="104"/>
      <c r="W155" s="104"/>
      <c r="X155" s="104"/>
      <c r="Y155" s="104"/>
    </row>
    <row r="156" spans="3:25" ht="15">
      <c r="C156" s="19"/>
      <c r="D156" s="108" t="s">
        <v>149</v>
      </c>
      <c r="E156" s="108" t="s">
        <v>150</v>
      </c>
      <c r="F156" s="108" t="s">
        <v>151</v>
      </c>
      <c r="G156" s="108" t="s">
        <v>152</v>
      </c>
      <c r="H156" s="113" t="s">
        <v>7</v>
      </c>
      <c r="M156" s="110"/>
      <c r="N156" s="110"/>
      <c r="O156" s="104"/>
      <c r="P156" s="104"/>
      <c r="Q156" s="104"/>
      <c r="R156" s="104"/>
      <c r="S156" s="104"/>
      <c r="T156" s="104"/>
      <c r="U156" s="104"/>
      <c r="V156" s="104"/>
      <c r="W156" s="104"/>
      <c r="X156" s="104"/>
      <c r="Y156" s="104"/>
    </row>
    <row r="157" spans="2:25" ht="15">
      <c r="B157" t="s">
        <v>186</v>
      </c>
      <c r="C157" s="19"/>
      <c r="D157" s="110">
        <f aca="true" t="shared" si="4" ref="D157:G161">$C142*D32*hhsize</f>
        <v>397.3860000000001</v>
      </c>
      <c r="E157" s="110">
        <f t="shared" si="4"/>
        <v>883.0800000000002</v>
      </c>
      <c r="F157" s="110">
        <f t="shared" si="4"/>
        <v>883.0800000000002</v>
      </c>
      <c r="G157" s="110">
        <f t="shared" si="4"/>
        <v>196.24</v>
      </c>
      <c r="H157" s="110">
        <f>SUM(E157:G157)</f>
        <v>1962.4000000000003</v>
      </c>
      <c r="I157" s="104"/>
      <c r="J157" s="104"/>
      <c r="K157" s="110"/>
      <c r="L157" s="110"/>
      <c r="M157" s="110"/>
      <c r="N157" s="110"/>
      <c r="O157" s="104"/>
      <c r="P157" s="104"/>
      <c r="Q157" s="104"/>
      <c r="R157" s="104"/>
      <c r="S157" s="104"/>
      <c r="T157" s="104"/>
      <c r="U157" s="104"/>
      <c r="V157" s="104"/>
      <c r="W157" s="104"/>
      <c r="X157" s="104"/>
      <c r="Y157" s="104"/>
    </row>
    <row r="158" spans="2:25" ht="15">
      <c r="B158" t="s">
        <v>187</v>
      </c>
      <c r="C158" s="19"/>
      <c r="D158" s="110">
        <f t="shared" si="4"/>
        <v>66.33000000000001</v>
      </c>
      <c r="E158" s="110">
        <f t="shared" si="4"/>
        <v>147.4</v>
      </c>
      <c r="F158" s="110">
        <f t="shared" si="4"/>
        <v>147.4</v>
      </c>
      <c r="G158" s="110">
        <f t="shared" si="4"/>
        <v>0</v>
      </c>
      <c r="H158" s="110">
        <f aca="true" t="shared" si="5" ref="H158:H163">SUM(E158:G158)</f>
        <v>294.8</v>
      </c>
      <c r="I158" s="104"/>
      <c r="J158" s="104"/>
      <c r="K158" s="110"/>
      <c r="L158" s="110"/>
      <c r="M158" s="110"/>
      <c r="N158" s="110"/>
      <c r="O158" s="104"/>
      <c r="P158" s="104"/>
      <c r="Q158" s="104"/>
      <c r="R158" s="104"/>
      <c r="S158" s="104"/>
      <c r="T158" s="104"/>
      <c r="U158" s="104"/>
      <c r="V158" s="104"/>
      <c r="W158" s="104"/>
      <c r="X158" s="104"/>
      <c r="Y158" s="104"/>
    </row>
    <row r="159" spans="2:25" ht="15">
      <c r="B159" t="s">
        <v>188</v>
      </c>
      <c r="C159" s="19"/>
      <c r="D159" s="110">
        <f t="shared" si="4"/>
        <v>1000.8900000000001</v>
      </c>
      <c r="E159" s="110">
        <f t="shared" si="4"/>
        <v>2224.2000000000003</v>
      </c>
      <c r="F159" s="110">
        <f t="shared" si="4"/>
        <v>2224.2000000000003</v>
      </c>
      <c r="G159" s="110">
        <f t="shared" si="4"/>
        <v>0</v>
      </c>
      <c r="H159" s="110">
        <f t="shared" si="5"/>
        <v>4448.400000000001</v>
      </c>
      <c r="I159" s="104"/>
      <c r="J159" s="104"/>
      <c r="K159" s="110"/>
      <c r="L159" s="110"/>
      <c r="M159" s="110"/>
      <c r="N159" s="110"/>
      <c r="O159" s="104"/>
      <c r="P159" s="104"/>
      <c r="Q159" s="104"/>
      <c r="R159" s="104"/>
      <c r="S159" s="104"/>
      <c r="T159" s="104"/>
      <c r="U159" s="104"/>
      <c r="V159" s="104"/>
      <c r="W159" s="104"/>
      <c r="X159" s="104"/>
      <c r="Y159" s="104"/>
    </row>
    <row r="160" spans="2:25" ht="15">
      <c r="B160" t="s">
        <v>189</v>
      </c>
      <c r="C160" s="19"/>
      <c r="D160" s="110">
        <f t="shared" si="4"/>
        <v>129.49200000000002</v>
      </c>
      <c r="E160" s="110">
        <f t="shared" si="4"/>
        <v>287.76000000000005</v>
      </c>
      <c r="F160" s="110">
        <f t="shared" si="4"/>
        <v>287.76000000000005</v>
      </c>
      <c r="G160" s="110">
        <f t="shared" si="4"/>
        <v>863.28</v>
      </c>
      <c r="H160" s="110">
        <f t="shared" si="5"/>
        <v>1438.8000000000002</v>
      </c>
      <c r="I160" s="104"/>
      <c r="J160" s="104"/>
      <c r="K160" s="110"/>
      <c r="L160" s="110"/>
      <c r="M160" s="110"/>
      <c r="N160" s="110"/>
      <c r="O160" s="104"/>
      <c r="P160" s="104"/>
      <c r="Q160" s="104"/>
      <c r="R160" s="104"/>
      <c r="S160" s="104"/>
      <c r="T160" s="104"/>
      <c r="U160" s="104"/>
      <c r="V160" s="104"/>
      <c r="W160" s="104"/>
      <c r="X160" s="104"/>
      <c r="Y160" s="104"/>
    </row>
    <row r="161" spans="2:25" ht="15">
      <c r="B161" t="s">
        <v>190</v>
      </c>
      <c r="C161" s="19"/>
      <c r="D161" s="110">
        <f t="shared" si="4"/>
        <v>570.9825000000001</v>
      </c>
      <c r="E161" s="110">
        <f t="shared" si="4"/>
        <v>1268.8500000000001</v>
      </c>
      <c r="F161" s="110">
        <f t="shared" si="4"/>
        <v>1268.8500000000001</v>
      </c>
      <c r="G161" s="110">
        <f t="shared" si="4"/>
        <v>845.9000000000001</v>
      </c>
      <c r="H161" s="110">
        <f t="shared" si="5"/>
        <v>3383.6000000000004</v>
      </c>
      <c r="I161" s="104"/>
      <c r="J161" s="104"/>
      <c r="K161" s="110"/>
      <c r="L161" s="110"/>
      <c r="M161" s="110"/>
      <c r="N161" s="110"/>
      <c r="O161" s="104"/>
      <c r="P161" s="104"/>
      <c r="Q161" s="104"/>
      <c r="R161" s="104"/>
      <c r="S161" s="104"/>
      <c r="T161" s="104"/>
      <c r="U161" s="104"/>
      <c r="V161" s="104"/>
      <c r="W161" s="104"/>
      <c r="X161" s="104"/>
      <c r="Y161" s="104"/>
    </row>
    <row r="162" spans="2:25" ht="15">
      <c r="B162" t="s">
        <v>191</v>
      </c>
      <c r="C162" s="19"/>
      <c r="D162" s="8"/>
      <c r="E162" s="8"/>
      <c r="F162" s="8"/>
      <c r="G162" s="112">
        <f>$C153*G37*hhsize</f>
        <v>1591.0400000000002</v>
      </c>
      <c r="H162" s="114">
        <f t="shared" si="5"/>
        <v>1591.0400000000002</v>
      </c>
      <c r="I162" s="104"/>
      <c r="J162" s="104"/>
      <c r="K162" s="110"/>
      <c r="L162" s="110"/>
      <c r="M162" s="110"/>
      <c r="N162" s="110"/>
      <c r="O162" s="104"/>
      <c r="P162" s="104"/>
      <c r="Q162" s="104"/>
      <c r="R162" s="104"/>
      <c r="S162" s="104"/>
      <c r="T162" s="104"/>
      <c r="U162" s="104"/>
      <c r="V162" s="104"/>
      <c r="W162" s="104"/>
      <c r="X162" s="104"/>
      <c r="Y162" s="104"/>
    </row>
    <row r="163" spans="3:8" ht="15">
      <c r="C163" s="19"/>
      <c r="D163" s="110">
        <f>SUM(D157:D162)</f>
        <v>2165.0805</v>
      </c>
      <c r="E163" s="110">
        <f>SUM(E157:E162)</f>
        <v>4811.290000000001</v>
      </c>
      <c r="F163" s="110">
        <f>SUM(F157:F162)</f>
        <v>4811.290000000001</v>
      </c>
      <c r="G163" s="110">
        <f>SUM(G157:G162)</f>
        <v>3496.46</v>
      </c>
      <c r="H163" s="110">
        <f t="shared" si="5"/>
        <v>13119.04</v>
      </c>
    </row>
    <row r="164" spans="2:8" ht="15">
      <c r="B164" t="s">
        <v>207</v>
      </c>
      <c r="C164" s="19"/>
      <c r="D164" s="115">
        <f>D163/$H163</f>
        <v>0.1650334551918433</v>
      </c>
      <c r="E164" s="115">
        <f>E163/$H163</f>
        <v>0.3667410115374296</v>
      </c>
      <c r="F164" s="115">
        <f>F163/$H163</f>
        <v>0.3667410115374296</v>
      </c>
      <c r="G164" s="115">
        <f>G163/$H163</f>
        <v>0.26651797692514084</v>
      </c>
      <c r="H164" s="115">
        <f>H163/$H163</f>
        <v>1</v>
      </c>
    </row>
    <row r="165" spans="2:8" ht="15">
      <c r="B165" t="s">
        <v>153</v>
      </c>
      <c r="D165" s="2">
        <v>0.1631</v>
      </c>
      <c r="E165" s="2">
        <v>0.3664</v>
      </c>
      <c r="F165" s="2">
        <v>0.3473</v>
      </c>
      <c r="G165" s="2">
        <v>0.2864</v>
      </c>
      <c r="H165" s="104"/>
    </row>
    <row r="166" ht="15">
      <c r="E166" s="4"/>
    </row>
    <row r="167" spans="2:7" ht="15">
      <c r="B167" t="s">
        <v>235</v>
      </c>
      <c r="C167" s="19"/>
      <c r="D167" s="110">
        <f>(D125-D139)/D163/[0]!exrate</f>
        <v>1875.2693460293203</v>
      </c>
      <c r="E167" s="110">
        <f>(E125-E139)/E163/[0]!exrate</f>
        <v>1875.2693460293196</v>
      </c>
      <c r="F167" s="110">
        <f>(F125-F139)/F163/[0]!exrate</f>
        <v>1875.2693460293196</v>
      </c>
      <c r="G167" s="110">
        <f>(G125-G139)/G163/[0]!exrate</f>
        <v>4312.095323031954</v>
      </c>
    </row>
    <row r="168" spans="2:7" ht="15">
      <c r="B168" t="s">
        <v>155</v>
      </c>
      <c r="C168" s="19"/>
      <c r="D168">
        <v>331</v>
      </c>
      <c r="E168">
        <v>467</v>
      </c>
      <c r="F168">
        <v>1027</v>
      </c>
      <c r="G168">
        <v>3167</v>
      </c>
    </row>
    <row r="169" spans="2:7" ht="15">
      <c r="B169" t="s">
        <v>169</v>
      </c>
      <c r="C169" s="19"/>
      <c r="D169" s="106">
        <f>D167/D168</f>
        <v>5.665466302203384</v>
      </c>
      <c r="E169" s="106">
        <f>E167/E168</f>
        <v>4.015566051454646</v>
      </c>
      <c r="F169" s="106">
        <f>F167/F168</f>
        <v>1.825968204507614</v>
      </c>
      <c r="G169" s="106">
        <f>G167/G168</f>
        <v>1.3615709892743775</v>
      </c>
    </row>
  </sheetData>
  <sheetProtection/>
  <mergeCells count="1">
    <mergeCell ref="B1:H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16"/>
  <dimension ref="B1:W102"/>
  <sheetViews>
    <sheetView zoomScale="85" zoomScaleNormal="85" zoomScalePageLayoutView="0" workbookViewId="0" topLeftCell="A1">
      <selection activeCell="A1" sqref="A1"/>
    </sheetView>
  </sheetViews>
  <sheetFormatPr defaultColWidth="9.140625" defaultRowHeight="15"/>
  <cols>
    <col min="3" max="3" width="21.00390625" style="0" customWidth="1"/>
    <col min="8" max="10" width="3.7109375" style="0" customWidth="1"/>
    <col min="11" max="11" width="21.7109375" style="0" customWidth="1"/>
    <col min="14" max="14" width="3.7109375" style="0" customWidth="1"/>
    <col min="15" max="15" width="23.140625" style="0" customWidth="1"/>
    <col min="18" max="18" width="22.7109375" style="0" customWidth="1"/>
    <col min="19" max="19" width="21.57421875" style="0" customWidth="1"/>
    <col min="21" max="21" width="21.7109375" style="0" customWidth="1"/>
  </cols>
  <sheetData>
    <row r="1" spans="2:17"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296"/>
      <c r="J1" s="296"/>
      <c r="Q1" s="242" t="str">
        <f>'User''s Guide'!C1</f>
        <v>Last  Updated : 'September 2011</v>
      </c>
    </row>
    <row r="2" spans="2:10" s="133" customFormat="1" ht="20.25">
      <c r="B2" s="131" t="s">
        <v>432</v>
      </c>
      <c r="D2" s="130"/>
      <c r="E2" s="130"/>
      <c r="F2" s="130"/>
      <c r="G2" s="130"/>
      <c r="H2" s="130"/>
      <c r="I2" s="130"/>
      <c r="J2" s="132"/>
    </row>
    <row r="4" ht="15">
      <c r="B4" s="12" t="s">
        <v>19</v>
      </c>
    </row>
    <row r="5" ht="15">
      <c r="B5" t="s">
        <v>181</v>
      </c>
    </row>
    <row r="6" ht="15">
      <c r="B6" t="s">
        <v>277</v>
      </c>
    </row>
    <row r="8" spans="3:19" ht="15">
      <c r="C8" t="s">
        <v>264</v>
      </c>
      <c r="K8" t="s">
        <v>265</v>
      </c>
      <c r="O8" t="s">
        <v>267</v>
      </c>
      <c r="S8" t="s">
        <v>278</v>
      </c>
    </row>
    <row r="9" spans="3:20" ht="15">
      <c r="C9" t="s">
        <v>244</v>
      </c>
      <c r="D9" t="s">
        <v>245</v>
      </c>
      <c r="K9" t="s">
        <v>244</v>
      </c>
      <c r="L9" t="s">
        <v>245</v>
      </c>
      <c r="O9" t="s">
        <v>244</v>
      </c>
      <c r="P9" t="s">
        <v>245</v>
      </c>
      <c r="S9" t="s">
        <v>244</v>
      </c>
      <c r="T9" t="s">
        <v>245</v>
      </c>
    </row>
    <row r="10" spans="3:20" ht="15">
      <c r="C10" t="s">
        <v>246</v>
      </c>
      <c r="D10" s="121">
        <v>8000</v>
      </c>
      <c r="K10" t="s">
        <v>246</v>
      </c>
      <c r="L10" s="121">
        <v>8000</v>
      </c>
      <c r="O10" t="s">
        <v>246</v>
      </c>
      <c r="P10" s="121">
        <v>8000</v>
      </c>
      <c r="S10" t="s">
        <v>246</v>
      </c>
      <c r="T10" s="121">
        <v>8000</v>
      </c>
    </row>
    <row r="11" spans="3:22" ht="15">
      <c r="C11" t="s">
        <v>247</v>
      </c>
      <c r="D11">
        <v>591</v>
      </c>
      <c r="K11" t="s">
        <v>247</v>
      </c>
      <c r="L11">
        <v>3203583653</v>
      </c>
      <c r="O11" t="s">
        <v>247</v>
      </c>
      <c r="P11">
        <v>929251133</v>
      </c>
      <c r="S11" t="s">
        <v>247</v>
      </c>
      <c r="T11" s="11">
        <v>0.25</v>
      </c>
      <c r="V11" s="12" t="s">
        <v>403</v>
      </c>
    </row>
    <row r="12" spans="3:23" ht="15">
      <c r="C12" t="s">
        <v>248</v>
      </c>
      <c r="D12">
        <v>446</v>
      </c>
      <c r="K12" t="s">
        <v>248</v>
      </c>
      <c r="L12">
        <v>2400950528</v>
      </c>
      <c r="O12" t="s">
        <v>248</v>
      </c>
      <c r="P12">
        <v>687829010</v>
      </c>
      <c r="S12" t="s">
        <v>248</v>
      </c>
      <c r="T12" s="11">
        <v>0.22</v>
      </c>
      <c r="V12" s="126">
        <f>T12-1.96*T15</f>
        <v>0.1416</v>
      </c>
      <c r="W12" s="126">
        <f>T12+1.96*T15</f>
        <v>0.2984</v>
      </c>
    </row>
    <row r="13" spans="3:20" ht="15">
      <c r="C13" t="s">
        <v>249</v>
      </c>
      <c r="D13">
        <v>479</v>
      </c>
      <c r="K13" t="s">
        <v>249</v>
      </c>
      <c r="L13">
        <v>2486841120</v>
      </c>
      <c r="O13" t="s">
        <v>249</v>
      </c>
      <c r="P13">
        <v>742848655</v>
      </c>
      <c r="S13" t="s">
        <v>249</v>
      </c>
      <c r="T13" s="11">
        <v>0.23</v>
      </c>
    </row>
    <row r="14" spans="3:20" ht="15">
      <c r="C14" t="s">
        <v>250</v>
      </c>
      <c r="D14">
        <v>591</v>
      </c>
      <c r="K14" t="s">
        <v>250</v>
      </c>
      <c r="L14" t="s">
        <v>260</v>
      </c>
      <c r="O14" t="s">
        <v>250</v>
      </c>
      <c r="P14">
        <v>929251133</v>
      </c>
      <c r="S14" t="s">
        <v>250</v>
      </c>
      <c r="T14" t="s">
        <v>260</v>
      </c>
    </row>
    <row r="15" spans="3:20" ht="15">
      <c r="C15" t="s">
        <v>251</v>
      </c>
      <c r="D15">
        <v>113</v>
      </c>
      <c r="K15" t="s">
        <v>251</v>
      </c>
      <c r="L15">
        <v>641675732</v>
      </c>
      <c r="O15" t="s">
        <v>251</v>
      </c>
      <c r="P15">
        <v>187917520</v>
      </c>
      <c r="S15" t="s">
        <v>251</v>
      </c>
      <c r="T15" s="11">
        <v>0.04</v>
      </c>
    </row>
    <row r="16" spans="3:20" ht="15">
      <c r="C16" t="s">
        <v>252</v>
      </c>
      <c r="D16" s="121">
        <v>12726</v>
      </c>
      <c r="K16" t="s">
        <v>252</v>
      </c>
      <c r="L16">
        <v>4.11747745120636E+17</v>
      </c>
      <c r="O16" t="s">
        <v>252</v>
      </c>
      <c r="P16">
        <v>35312994232619700</v>
      </c>
      <c r="S16" t="s">
        <v>252</v>
      </c>
      <c r="T16" s="11">
        <v>0</v>
      </c>
    </row>
    <row r="17" spans="3:20" ht="15">
      <c r="C17" t="s">
        <v>253</v>
      </c>
      <c r="D17">
        <v>-0.5056</v>
      </c>
      <c r="K17" t="s">
        <v>253</v>
      </c>
      <c r="L17">
        <v>-0.4095</v>
      </c>
      <c r="O17" t="s">
        <v>253</v>
      </c>
      <c r="P17">
        <v>-0.5068</v>
      </c>
      <c r="S17" t="s">
        <v>253</v>
      </c>
      <c r="T17">
        <v>-0.7465</v>
      </c>
    </row>
    <row r="18" spans="3:20" ht="15">
      <c r="C18" t="s">
        <v>254</v>
      </c>
      <c r="D18">
        <v>2.29</v>
      </c>
      <c r="K18" t="s">
        <v>254</v>
      </c>
      <c r="L18">
        <v>2.32</v>
      </c>
      <c r="O18" t="s">
        <v>254</v>
      </c>
      <c r="P18">
        <v>2.29</v>
      </c>
      <c r="S18" t="s">
        <v>254</v>
      </c>
      <c r="T18">
        <v>3.25</v>
      </c>
    </row>
    <row r="19" spans="3:20" ht="15">
      <c r="C19" t="s">
        <v>255</v>
      </c>
      <c r="D19">
        <v>0.2528</v>
      </c>
      <c r="K19" t="s">
        <v>255</v>
      </c>
      <c r="L19">
        <v>0.2673</v>
      </c>
      <c r="O19" t="s">
        <v>255</v>
      </c>
      <c r="P19">
        <v>0.2732</v>
      </c>
      <c r="S19" t="s">
        <v>255</v>
      </c>
      <c r="T19">
        <v>0.1764</v>
      </c>
    </row>
    <row r="20" spans="3:20" ht="15">
      <c r="C20" t="s">
        <v>256</v>
      </c>
      <c r="D20">
        <v>180</v>
      </c>
      <c r="K20" t="s">
        <v>256</v>
      </c>
      <c r="L20">
        <v>789336421</v>
      </c>
      <c r="O20" t="s">
        <v>256</v>
      </c>
      <c r="P20">
        <v>244867847</v>
      </c>
      <c r="S20" t="s">
        <v>256</v>
      </c>
      <c r="T20" s="11">
        <v>0.09</v>
      </c>
    </row>
    <row r="21" spans="3:20" ht="15">
      <c r="C21" t="s">
        <v>257</v>
      </c>
      <c r="D21">
        <v>591</v>
      </c>
      <c r="K21" t="s">
        <v>257</v>
      </c>
      <c r="L21">
        <v>3733523170</v>
      </c>
      <c r="O21" t="s">
        <v>257</v>
      </c>
      <c r="P21">
        <v>929251133</v>
      </c>
      <c r="S21" t="s">
        <v>257</v>
      </c>
      <c r="T21" s="11">
        <v>0.32</v>
      </c>
    </row>
    <row r="22" spans="3:20" ht="15">
      <c r="C22" t="s">
        <v>258</v>
      </c>
      <c r="D22">
        <v>1</v>
      </c>
      <c r="K22" t="s">
        <v>258</v>
      </c>
      <c r="L22">
        <v>7174153</v>
      </c>
      <c r="O22" t="s">
        <v>258</v>
      </c>
      <c r="P22">
        <v>2100982</v>
      </c>
      <c r="S22" t="s">
        <v>258</v>
      </c>
      <c r="T22" s="11">
        <v>0</v>
      </c>
    </row>
    <row r="24" spans="3:15" ht="15">
      <c r="C24" t="s">
        <v>263</v>
      </c>
      <c r="K24" t="s">
        <v>266</v>
      </c>
      <c r="O24" t="s">
        <v>268</v>
      </c>
    </row>
    <row r="25" spans="3:16" ht="15">
      <c r="C25" t="s">
        <v>244</v>
      </c>
      <c r="D25" t="s">
        <v>245</v>
      </c>
      <c r="K25" t="s">
        <v>244</v>
      </c>
      <c r="L25" t="s">
        <v>245</v>
      </c>
      <c r="O25" t="s">
        <v>244</v>
      </c>
      <c r="P25" t="s">
        <v>245</v>
      </c>
    </row>
    <row r="26" spans="3:16" ht="15">
      <c r="C26" t="s">
        <v>246</v>
      </c>
      <c r="D26" s="121">
        <v>8000</v>
      </c>
      <c r="K26" t="s">
        <v>246</v>
      </c>
      <c r="L26" s="121">
        <v>8000</v>
      </c>
      <c r="O26" t="s">
        <v>246</v>
      </c>
      <c r="P26" s="121">
        <v>8000</v>
      </c>
    </row>
    <row r="27" spans="3:16" ht="15">
      <c r="C27" t="s">
        <v>247</v>
      </c>
      <c r="D27">
        <v>64</v>
      </c>
      <c r="K27" t="s">
        <v>247</v>
      </c>
      <c r="L27">
        <v>442202380</v>
      </c>
      <c r="O27" t="s">
        <v>247</v>
      </c>
      <c r="P27">
        <v>100404906</v>
      </c>
    </row>
    <row r="28" spans="3:16" ht="15">
      <c r="C28" t="s">
        <v>248</v>
      </c>
      <c r="D28">
        <v>67</v>
      </c>
      <c r="K28" t="s">
        <v>248</v>
      </c>
      <c r="L28">
        <v>326763449</v>
      </c>
      <c r="O28" t="s">
        <v>248</v>
      </c>
      <c r="P28">
        <v>103924132</v>
      </c>
    </row>
    <row r="29" spans="3:16" ht="15">
      <c r="C29" t="s">
        <v>249</v>
      </c>
      <c r="D29">
        <v>67</v>
      </c>
      <c r="K29" t="s">
        <v>249</v>
      </c>
      <c r="L29">
        <v>353032269</v>
      </c>
      <c r="O29" t="s">
        <v>249</v>
      </c>
      <c r="P29">
        <v>103616103</v>
      </c>
    </row>
    <row r="30" spans="3:16" ht="15">
      <c r="C30" t="s">
        <v>250</v>
      </c>
      <c r="D30" t="s">
        <v>260</v>
      </c>
      <c r="K30" t="s">
        <v>250</v>
      </c>
      <c r="L30">
        <v>442202380</v>
      </c>
      <c r="O30" t="s">
        <v>250</v>
      </c>
      <c r="P30" t="s">
        <v>260</v>
      </c>
    </row>
    <row r="31" spans="3:16" ht="15">
      <c r="C31" t="s">
        <v>251</v>
      </c>
      <c r="D31">
        <v>21</v>
      </c>
      <c r="K31" t="s">
        <v>251</v>
      </c>
      <c r="L31">
        <v>89871346</v>
      </c>
      <c r="O31" t="s">
        <v>251</v>
      </c>
      <c r="P31">
        <v>33525057</v>
      </c>
    </row>
    <row r="32" spans="3:16" ht="15">
      <c r="C32" t="s">
        <v>252</v>
      </c>
      <c r="D32">
        <v>423</v>
      </c>
      <c r="K32" t="s">
        <v>252</v>
      </c>
      <c r="L32">
        <v>8076858886496530</v>
      </c>
      <c r="O32" t="s">
        <v>252</v>
      </c>
      <c r="P32">
        <v>1123929472457260</v>
      </c>
    </row>
    <row r="33" spans="3:16" ht="15">
      <c r="C33" t="s">
        <v>253</v>
      </c>
      <c r="D33">
        <v>0.0489</v>
      </c>
      <c r="K33" t="s">
        <v>253</v>
      </c>
      <c r="L33">
        <v>-0.5075</v>
      </c>
      <c r="O33" t="s">
        <v>253</v>
      </c>
      <c r="P33">
        <v>0.0224</v>
      </c>
    </row>
    <row r="34" spans="3:16" ht="15">
      <c r="C34" t="s">
        <v>254</v>
      </c>
      <c r="D34">
        <v>2.36</v>
      </c>
      <c r="K34" t="s">
        <v>254</v>
      </c>
      <c r="L34">
        <v>2.29</v>
      </c>
      <c r="O34" t="s">
        <v>254</v>
      </c>
      <c r="P34">
        <v>2.35</v>
      </c>
    </row>
    <row r="35" spans="3:16" ht="15">
      <c r="C35" t="s">
        <v>255</v>
      </c>
      <c r="D35">
        <v>0.305</v>
      </c>
      <c r="K35" t="s">
        <v>255</v>
      </c>
      <c r="L35">
        <v>0.275</v>
      </c>
      <c r="O35" t="s">
        <v>255</v>
      </c>
      <c r="P35">
        <v>0.3226</v>
      </c>
    </row>
    <row r="36" spans="3:16" ht="15">
      <c r="C36" t="s">
        <v>256</v>
      </c>
      <c r="D36">
        <v>20</v>
      </c>
      <c r="K36" t="s">
        <v>256</v>
      </c>
      <c r="L36">
        <v>115170727</v>
      </c>
      <c r="O36" t="s">
        <v>256</v>
      </c>
      <c r="P36">
        <v>26735090</v>
      </c>
    </row>
    <row r="37" spans="3:16" ht="15">
      <c r="C37" t="s">
        <v>257</v>
      </c>
      <c r="D37">
        <v>115</v>
      </c>
      <c r="K37" t="s">
        <v>257</v>
      </c>
      <c r="L37">
        <v>442202380</v>
      </c>
      <c r="O37" t="s">
        <v>257</v>
      </c>
      <c r="P37">
        <v>180704281</v>
      </c>
    </row>
    <row r="38" spans="3:16" ht="15">
      <c r="C38" t="s">
        <v>258</v>
      </c>
      <c r="D38">
        <v>0</v>
      </c>
      <c r="K38" t="s">
        <v>258</v>
      </c>
      <c r="L38">
        <v>1004792</v>
      </c>
      <c r="O38" t="s">
        <v>258</v>
      </c>
      <c r="P38">
        <v>374822</v>
      </c>
    </row>
    <row r="40" spans="3:15" ht="15">
      <c r="C40" t="s">
        <v>262</v>
      </c>
      <c r="O40" t="s">
        <v>269</v>
      </c>
    </row>
    <row r="41" spans="3:16" ht="15">
      <c r="C41" t="s">
        <v>244</v>
      </c>
      <c r="D41" t="s">
        <v>245</v>
      </c>
      <c r="O41" t="s">
        <v>244</v>
      </c>
      <c r="P41" t="s">
        <v>245</v>
      </c>
    </row>
    <row r="42" spans="3:16" ht="15">
      <c r="C42" t="s">
        <v>246</v>
      </c>
      <c r="D42" s="121">
        <v>8000</v>
      </c>
      <c r="O42" t="s">
        <v>246</v>
      </c>
      <c r="P42" s="121">
        <v>8000</v>
      </c>
    </row>
    <row r="43" spans="3:16" ht="15">
      <c r="C43" t="s">
        <v>247</v>
      </c>
      <c r="D43">
        <v>894</v>
      </c>
      <c r="O43" t="s">
        <v>247</v>
      </c>
      <c r="P43">
        <v>1405668687</v>
      </c>
    </row>
    <row r="44" spans="3:16" ht="15">
      <c r="C44" t="s">
        <v>248</v>
      </c>
      <c r="D44" s="121">
        <v>1011</v>
      </c>
      <c r="O44" t="s">
        <v>248</v>
      </c>
      <c r="P44">
        <v>1557716680</v>
      </c>
    </row>
    <row r="45" spans="3:16" ht="15">
      <c r="C45" t="s">
        <v>249</v>
      </c>
      <c r="D45">
        <v>995</v>
      </c>
      <c r="O45" t="s">
        <v>249</v>
      </c>
      <c r="P45">
        <v>1538252852</v>
      </c>
    </row>
    <row r="46" spans="3:16" ht="15">
      <c r="C46" t="s">
        <v>250</v>
      </c>
      <c r="D46" t="s">
        <v>260</v>
      </c>
      <c r="O46" t="s">
        <v>250</v>
      </c>
      <c r="P46" t="s">
        <v>260</v>
      </c>
    </row>
    <row r="47" spans="3:16" ht="15">
      <c r="C47" t="s">
        <v>251</v>
      </c>
      <c r="D47">
        <v>325</v>
      </c>
      <c r="O47" t="s">
        <v>251</v>
      </c>
      <c r="P47">
        <v>526409690</v>
      </c>
    </row>
    <row r="48" spans="3:16" ht="15">
      <c r="C48" t="s">
        <v>252</v>
      </c>
      <c r="D48" s="121">
        <v>105354</v>
      </c>
      <c r="O48" t="s">
        <v>252</v>
      </c>
      <c r="P48">
        <v>2.77107162103446E+17</v>
      </c>
    </row>
    <row r="49" spans="3:16" ht="15">
      <c r="C49" t="s">
        <v>253</v>
      </c>
      <c r="D49">
        <v>0.1335</v>
      </c>
      <c r="O49" t="s">
        <v>253</v>
      </c>
      <c r="P49">
        <v>0.1116</v>
      </c>
    </row>
    <row r="50" spans="3:16" ht="15">
      <c r="C50" t="s">
        <v>254</v>
      </c>
      <c r="D50">
        <v>2.38</v>
      </c>
      <c r="O50" t="s">
        <v>254</v>
      </c>
      <c r="P50">
        <v>2.38</v>
      </c>
    </row>
    <row r="51" spans="3:16" ht="15">
      <c r="C51" t="s">
        <v>255</v>
      </c>
      <c r="D51">
        <v>0.3211</v>
      </c>
      <c r="O51" t="s">
        <v>255</v>
      </c>
      <c r="P51">
        <v>0.3379</v>
      </c>
    </row>
    <row r="52" spans="3:16" ht="15">
      <c r="C52" t="s">
        <v>256</v>
      </c>
      <c r="D52">
        <v>273</v>
      </c>
      <c r="O52" t="s">
        <v>256</v>
      </c>
      <c r="P52">
        <v>370659066</v>
      </c>
    </row>
    <row r="53" spans="3:16" ht="15">
      <c r="C53" t="s">
        <v>257</v>
      </c>
      <c r="D53" s="121">
        <v>1788</v>
      </c>
      <c r="O53" t="s">
        <v>257</v>
      </c>
      <c r="P53">
        <v>2810561312</v>
      </c>
    </row>
    <row r="54" spans="3:16" ht="15">
      <c r="C54" t="s">
        <v>258</v>
      </c>
      <c r="D54">
        <v>4</v>
      </c>
      <c r="O54" t="s">
        <v>258</v>
      </c>
      <c r="P54">
        <v>5885439</v>
      </c>
    </row>
    <row r="56" spans="3:15" ht="15">
      <c r="C56" t="s">
        <v>261</v>
      </c>
      <c r="O56" t="s">
        <v>270</v>
      </c>
    </row>
    <row r="57" spans="3:16" ht="15">
      <c r="C57" t="s">
        <v>244</v>
      </c>
      <c r="D57" t="s">
        <v>245</v>
      </c>
      <c r="O57" t="s">
        <v>244</v>
      </c>
      <c r="P57" t="s">
        <v>245</v>
      </c>
    </row>
    <row r="58" spans="3:16" ht="15">
      <c r="C58" t="s">
        <v>246</v>
      </c>
      <c r="D58" s="121">
        <v>8000</v>
      </c>
      <c r="O58" t="s">
        <v>246</v>
      </c>
      <c r="P58" s="121">
        <v>8000</v>
      </c>
    </row>
    <row r="59" spans="3:16" ht="15">
      <c r="C59" t="s">
        <v>247</v>
      </c>
      <c r="D59">
        <v>433</v>
      </c>
      <c r="O59" t="s">
        <v>247</v>
      </c>
      <c r="P59">
        <v>753036797</v>
      </c>
    </row>
    <row r="60" spans="3:16" ht="15">
      <c r="C60" t="s">
        <v>248</v>
      </c>
      <c r="D60">
        <v>327</v>
      </c>
      <c r="O60" t="s">
        <v>248</v>
      </c>
      <c r="P60">
        <v>557643294</v>
      </c>
    </row>
    <row r="61" spans="3:16" ht="15">
      <c r="C61" t="s">
        <v>249</v>
      </c>
      <c r="D61">
        <v>338</v>
      </c>
      <c r="O61" t="s">
        <v>249</v>
      </c>
      <c r="P61">
        <v>577498825</v>
      </c>
    </row>
    <row r="62" spans="3:16" ht="15">
      <c r="C62" t="s">
        <v>250</v>
      </c>
      <c r="D62" t="s">
        <v>260</v>
      </c>
      <c r="O62" t="s">
        <v>250</v>
      </c>
      <c r="P62" t="s">
        <v>260</v>
      </c>
    </row>
    <row r="63" spans="3:16" ht="15">
      <c r="C63" t="s">
        <v>251</v>
      </c>
      <c r="D63">
        <v>84</v>
      </c>
      <c r="O63" t="s">
        <v>251</v>
      </c>
      <c r="P63">
        <v>153988602</v>
      </c>
    </row>
    <row r="64" spans="3:16" ht="15">
      <c r="C64" t="s">
        <v>252</v>
      </c>
      <c r="D64" s="121">
        <v>6995</v>
      </c>
      <c r="O64" t="s">
        <v>252</v>
      </c>
      <c r="P64">
        <v>23712489410769900</v>
      </c>
    </row>
    <row r="65" spans="3:16" ht="15">
      <c r="C65" t="s">
        <v>253</v>
      </c>
      <c r="D65">
        <v>-0.4519</v>
      </c>
      <c r="O65" t="s">
        <v>253</v>
      </c>
      <c r="P65">
        <v>-0.4582</v>
      </c>
    </row>
    <row r="66" spans="3:16" ht="15">
      <c r="C66" t="s">
        <v>254</v>
      </c>
      <c r="D66">
        <v>2.31</v>
      </c>
      <c r="O66" t="s">
        <v>254</v>
      </c>
      <c r="P66">
        <v>2.31</v>
      </c>
    </row>
    <row r="67" spans="3:16" ht="15">
      <c r="C67" t="s">
        <v>255</v>
      </c>
      <c r="D67">
        <v>0.2559</v>
      </c>
      <c r="O67" t="s">
        <v>255</v>
      </c>
      <c r="P67">
        <v>0.2761</v>
      </c>
    </row>
    <row r="68" spans="3:16" ht="15">
      <c r="C68" t="s">
        <v>256</v>
      </c>
      <c r="D68">
        <v>119</v>
      </c>
      <c r="O68" t="s">
        <v>256</v>
      </c>
      <c r="P68">
        <v>178740163</v>
      </c>
    </row>
    <row r="69" spans="3:16" ht="15">
      <c r="C69" t="s">
        <v>257</v>
      </c>
      <c r="D69">
        <v>474</v>
      </c>
      <c r="O69" t="s">
        <v>257</v>
      </c>
      <c r="P69">
        <v>823967556</v>
      </c>
    </row>
    <row r="70" spans="3:16" ht="15">
      <c r="C70" t="s">
        <v>258</v>
      </c>
      <c r="D70">
        <v>1</v>
      </c>
      <c r="O70" t="s">
        <v>258</v>
      </c>
      <c r="P70">
        <v>1721645</v>
      </c>
    </row>
    <row r="72" spans="3:15" ht="15">
      <c r="C72" s="104" t="s">
        <v>259</v>
      </c>
      <c r="D72" s="104"/>
      <c r="O72" t="s">
        <v>271</v>
      </c>
    </row>
    <row r="73" spans="3:16" ht="15">
      <c r="C73" s="104" t="s">
        <v>244</v>
      </c>
      <c r="D73" s="104" t="s">
        <v>245</v>
      </c>
      <c r="O73" t="s">
        <v>244</v>
      </c>
      <c r="P73" t="s">
        <v>245</v>
      </c>
    </row>
    <row r="74" spans="3:16" ht="15">
      <c r="C74" s="104" t="s">
        <v>246</v>
      </c>
      <c r="D74" s="125">
        <v>8000</v>
      </c>
      <c r="O74" t="s">
        <v>246</v>
      </c>
      <c r="P74" s="121">
        <v>8000</v>
      </c>
    </row>
    <row r="75" spans="3:16" ht="15">
      <c r="C75" s="104" t="s">
        <v>247</v>
      </c>
      <c r="D75" s="104">
        <v>991</v>
      </c>
      <c r="O75" t="s">
        <v>247</v>
      </c>
      <c r="P75">
        <v>1549021287</v>
      </c>
    </row>
    <row r="76" spans="3:16" ht="15">
      <c r="C76" s="104" t="s">
        <v>248</v>
      </c>
      <c r="D76" s="104">
        <v>769</v>
      </c>
      <c r="O76" t="s">
        <v>248</v>
      </c>
      <c r="P76">
        <v>1158032816</v>
      </c>
    </row>
    <row r="77" spans="3:16" ht="15">
      <c r="C77" s="104" t="s">
        <v>249</v>
      </c>
      <c r="D77" s="104">
        <v>782</v>
      </c>
      <c r="O77" t="s">
        <v>249</v>
      </c>
      <c r="P77">
        <v>1188273321</v>
      </c>
    </row>
    <row r="78" spans="3:16" ht="15">
      <c r="C78" s="104" t="s">
        <v>250</v>
      </c>
      <c r="D78" s="104" t="s">
        <v>260</v>
      </c>
      <c r="O78" t="s">
        <v>250</v>
      </c>
      <c r="P78" t="s">
        <v>260</v>
      </c>
    </row>
    <row r="79" spans="3:16" ht="15">
      <c r="C79" s="104" t="s">
        <v>251</v>
      </c>
      <c r="D79" s="104">
        <v>187</v>
      </c>
      <c r="O79" t="s">
        <v>251</v>
      </c>
      <c r="P79">
        <v>322126755</v>
      </c>
    </row>
    <row r="80" spans="3:16" ht="15">
      <c r="C80" s="104" t="s">
        <v>252</v>
      </c>
      <c r="D80" s="125">
        <v>34843</v>
      </c>
      <c r="O80" t="s">
        <v>252</v>
      </c>
      <c r="P80">
        <v>1.03765646371757E+17</v>
      </c>
    </row>
    <row r="81" spans="3:16" ht="15">
      <c r="C81" s="104" t="s">
        <v>253</v>
      </c>
      <c r="D81" s="104">
        <v>-0.2447</v>
      </c>
      <c r="O81" t="s">
        <v>253</v>
      </c>
      <c r="P81">
        <v>-0.2934</v>
      </c>
    </row>
    <row r="82" spans="3:16" ht="15">
      <c r="C82" s="104" t="s">
        <v>254</v>
      </c>
      <c r="D82" s="104">
        <v>2.39</v>
      </c>
      <c r="O82" t="s">
        <v>254</v>
      </c>
      <c r="P82">
        <v>2.37</v>
      </c>
    </row>
    <row r="83" spans="3:16" ht="15">
      <c r="C83" s="104" t="s">
        <v>255</v>
      </c>
      <c r="D83" s="104">
        <v>0.2429</v>
      </c>
      <c r="O83" t="s">
        <v>255</v>
      </c>
      <c r="P83">
        <v>0.2782</v>
      </c>
    </row>
    <row r="84" spans="3:16" ht="15">
      <c r="C84" s="104" t="s">
        <v>256</v>
      </c>
      <c r="D84" s="104">
        <v>285</v>
      </c>
      <c r="O84" t="s">
        <v>256</v>
      </c>
      <c r="P84">
        <v>347225072</v>
      </c>
    </row>
    <row r="85" spans="3:16" ht="15">
      <c r="C85" s="104" t="s">
        <v>257</v>
      </c>
      <c r="D85" s="125">
        <v>1252</v>
      </c>
      <c r="O85" t="s">
        <v>257</v>
      </c>
      <c r="P85">
        <v>1956470983</v>
      </c>
    </row>
    <row r="86" spans="3:16" ht="15">
      <c r="C86" s="104" t="s">
        <v>258</v>
      </c>
      <c r="D86" s="104">
        <v>2</v>
      </c>
      <c r="O86" t="s">
        <v>258</v>
      </c>
      <c r="P86">
        <v>3601487</v>
      </c>
    </row>
    <row r="88" spans="15:21" ht="15">
      <c r="O88" t="s">
        <v>272</v>
      </c>
      <c r="R88" t="s">
        <v>273</v>
      </c>
      <c r="U88" t="s">
        <v>274</v>
      </c>
    </row>
    <row r="89" spans="15:22" ht="15">
      <c r="O89" t="s">
        <v>244</v>
      </c>
      <c r="P89" t="s">
        <v>245</v>
      </c>
      <c r="R89" t="s">
        <v>244</v>
      </c>
      <c r="S89" t="s">
        <v>245</v>
      </c>
      <c r="U89" t="s">
        <v>244</v>
      </c>
      <c r="V89" t="s">
        <v>245</v>
      </c>
    </row>
    <row r="90" spans="15:22" ht="15">
      <c r="O90" t="s">
        <v>246</v>
      </c>
      <c r="P90" s="121">
        <v>8000</v>
      </c>
      <c r="R90" t="s">
        <v>246</v>
      </c>
      <c r="S90" s="121">
        <v>8000</v>
      </c>
      <c r="U90" t="s">
        <v>246</v>
      </c>
      <c r="V90" s="121">
        <v>8000</v>
      </c>
    </row>
    <row r="91" spans="15:22" ht="15">
      <c r="O91" t="s">
        <v>247</v>
      </c>
      <c r="P91">
        <v>3467316095</v>
      </c>
      <c r="R91" t="s">
        <v>247</v>
      </c>
      <c r="S91">
        <v>45030079.2</v>
      </c>
      <c r="U91" t="s">
        <v>247</v>
      </c>
      <c r="V91">
        <v>1387169623</v>
      </c>
    </row>
    <row r="92" spans="15:22" ht="15">
      <c r="O92" t="s">
        <v>248</v>
      </c>
      <c r="P92">
        <v>2200623797</v>
      </c>
      <c r="R92" t="s">
        <v>248</v>
      </c>
      <c r="S92">
        <v>28579529.8</v>
      </c>
      <c r="U92" t="s">
        <v>248</v>
      </c>
      <c r="V92">
        <v>1212961900</v>
      </c>
    </row>
    <row r="93" spans="15:22" ht="15">
      <c r="O93" t="s">
        <v>249</v>
      </c>
      <c r="P93">
        <v>2247665071</v>
      </c>
      <c r="R93" t="s">
        <v>249</v>
      </c>
      <c r="S93">
        <v>29190455.5</v>
      </c>
      <c r="U93" t="s">
        <v>249</v>
      </c>
      <c r="V93">
        <v>1248858307</v>
      </c>
    </row>
    <row r="94" spans="15:22" ht="15">
      <c r="O94" t="s">
        <v>250</v>
      </c>
      <c r="P94" t="s">
        <v>260</v>
      </c>
      <c r="R94" t="s">
        <v>250</v>
      </c>
      <c r="S94" t="s">
        <v>260</v>
      </c>
      <c r="U94" t="s">
        <v>250</v>
      </c>
      <c r="V94" t="s">
        <v>260</v>
      </c>
    </row>
    <row r="95" spans="15:22" ht="15">
      <c r="O95" t="s">
        <v>251</v>
      </c>
      <c r="P95">
        <v>636113599</v>
      </c>
      <c r="R95" t="s">
        <v>251</v>
      </c>
      <c r="S95">
        <v>8261215.6</v>
      </c>
      <c r="U95" t="s">
        <v>251</v>
      </c>
      <c r="V95">
        <v>344851167</v>
      </c>
    </row>
    <row r="96" spans="15:22" ht="15">
      <c r="O96" t="s">
        <v>252</v>
      </c>
      <c r="P96">
        <v>4.04640511194707E+17</v>
      </c>
      <c r="R96" t="s">
        <v>252</v>
      </c>
      <c r="S96">
        <v>68247682778665.7</v>
      </c>
      <c r="U96" t="s">
        <v>252</v>
      </c>
      <c r="V96">
        <v>1.18922327533098E+17</v>
      </c>
    </row>
    <row r="97" spans="15:22" ht="15">
      <c r="O97" t="s">
        <v>253</v>
      </c>
      <c r="P97">
        <v>-0.2623</v>
      </c>
      <c r="R97" t="s">
        <v>253</v>
      </c>
      <c r="S97">
        <v>-0.2623</v>
      </c>
      <c r="U97" t="s">
        <v>253</v>
      </c>
      <c r="V97">
        <v>-0.314</v>
      </c>
    </row>
    <row r="98" spans="15:22" ht="15">
      <c r="O98" t="s">
        <v>254</v>
      </c>
      <c r="P98">
        <v>2.34</v>
      </c>
      <c r="R98" t="s">
        <v>254</v>
      </c>
      <c r="S98">
        <v>2.34</v>
      </c>
      <c r="U98" t="s">
        <v>254</v>
      </c>
      <c r="V98">
        <v>2.35</v>
      </c>
    </row>
    <row r="99" spans="15:22" ht="15">
      <c r="O99" t="s">
        <v>255</v>
      </c>
      <c r="P99">
        <v>0.2891</v>
      </c>
      <c r="R99" t="s">
        <v>255</v>
      </c>
      <c r="S99">
        <v>0.2891</v>
      </c>
      <c r="U99" t="s">
        <v>255</v>
      </c>
      <c r="V99">
        <v>0.2843</v>
      </c>
    </row>
    <row r="100" spans="15:22" ht="15">
      <c r="O100" t="s">
        <v>256</v>
      </c>
      <c r="P100">
        <v>655500884</v>
      </c>
      <c r="R100" t="s">
        <v>256</v>
      </c>
      <c r="S100">
        <v>8512998.5</v>
      </c>
      <c r="U100" t="s">
        <v>256</v>
      </c>
      <c r="V100">
        <v>361552588</v>
      </c>
    </row>
    <row r="101" spans="15:22" ht="15">
      <c r="O101" t="s">
        <v>257</v>
      </c>
      <c r="P101">
        <v>3464796044</v>
      </c>
      <c r="R101" t="s">
        <v>257</v>
      </c>
      <c r="S101">
        <v>44997351.2</v>
      </c>
      <c r="U101" t="s">
        <v>257</v>
      </c>
      <c r="V101">
        <v>1958756266</v>
      </c>
    </row>
    <row r="102" spans="15:22" ht="15">
      <c r="O102" t="s">
        <v>258</v>
      </c>
      <c r="P102">
        <v>7111966</v>
      </c>
      <c r="R102" t="s">
        <v>258</v>
      </c>
      <c r="S102">
        <v>92363.2</v>
      </c>
      <c r="U102" t="s">
        <v>258</v>
      </c>
      <c r="V102">
        <v>3855553</v>
      </c>
    </row>
  </sheetData>
  <sheetProtection/>
  <mergeCells count="1">
    <mergeCell ref="B1:H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7">
    <tabColor indexed="44"/>
  </sheetPr>
  <dimension ref="A1:M44"/>
  <sheetViews>
    <sheetView showGridLines="0" zoomScalePageLayoutView="0" workbookViewId="0" topLeftCell="A1">
      <selection activeCell="A1" sqref="A1"/>
    </sheetView>
  </sheetViews>
  <sheetFormatPr defaultColWidth="9.140625" defaultRowHeight="15"/>
  <cols>
    <col min="1" max="1" width="2.00390625" style="21" customWidth="1"/>
    <col min="2" max="2" width="41.421875" style="21" customWidth="1"/>
    <col min="3" max="3" width="11.57421875" style="21" customWidth="1"/>
    <col min="4" max="4" width="1.28515625" style="21" customWidth="1"/>
    <col min="5" max="5" width="10.28125" style="21" bestFit="1" customWidth="1"/>
    <col min="6" max="6" width="9.7109375" style="21" customWidth="1"/>
    <col min="7" max="8" width="9.7109375" style="21" bestFit="1" customWidth="1"/>
    <col min="9" max="9" width="1.28515625" style="21" customWidth="1"/>
    <col min="10" max="10" width="12.421875" style="21" bestFit="1" customWidth="1"/>
    <col min="11" max="16384" width="9.140625" style="21" customWidth="1"/>
  </cols>
  <sheetData>
    <row r="1" spans="2:8" ht="12.75">
      <c r="B1" s="22"/>
      <c r="D1" s="23"/>
      <c r="E1" s="22"/>
      <c r="F1" s="22"/>
      <c r="G1" s="22"/>
      <c r="H1" s="22"/>
    </row>
    <row r="2" spans="2:8" ht="15.75">
      <c r="B2" s="22"/>
      <c r="D2" s="24"/>
      <c r="E2" s="22"/>
      <c r="F2" s="22"/>
      <c r="G2" s="22"/>
      <c r="H2" s="22"/>
    </row>
    <row r="3" spans="1:2" ht="16.5" customHeight="1">
      <c r="A3" s="23"/>
      <c r="B3" s="23"/>
    </row>
    <row r="4" spans="1:9" ht="16.5" customHeight="1">
      <c r="A4" s="23"/>
      <c r="B4" s="23"/>
      <c r="C4" s="385" t="s">
        <v>156</v>
      </c>
      <c r="D4" s="385"/>
      <c r="E4" s="385"/>
      <c r="F4" s="385"/>
      <c r="G4" s="385"/>
      <c r="H4" s="385"/>
      <c r="I4" s="385"/>
    </row>
    <row r="5" spans="2:8" ht="15.75">
      <c r="B5" s="22"/>
      <c r="C5" s="386"/>
      <c r="D5" s="386"/>
      <c r="E5" s="386"/>
      <c r="F5" s="386"/>
      <c r="G5" s="386"/>
      <c r="H5" s="386"/>
    </row>
    <row r="6" spans="2:8" ht="15.75">
      <c r="B6" s="22"/>
      <c r="C6" s="25"/>
      <c r="D6" s="26"/>
      <c r="E6" s="27"/>
      <c r="F6" s="28"/>
      <c r="G6" s="28"/>
      <c r="H6" s="28"/>
    </row>
    <row r="7" spans="2:8" ht="15.75">
      <c r="B7" s="387" t="s">
        <v>318</v>
      </c>
      <c r="C7" s="387"/>
      <c r="D7" s="387"/>
      <c r="E7" s="387"/>
      <c r="F7" s="387"/>
      <c r="G7" s="387"/>
      <c r="H7" s="387"/>
    </row>
    <row r="8" spans="2:8" ht="24" customHeight="1" thickBot="1">
      <c r="B8" s="388" t="s">
        <v>196</v>
      </c>
      <c r="C8" s="388"/>
      <c r="D8" s="388"/>
      <c r="E8" s="388"/>
      <c r="F8" s="388"/>
      <c r="G8" s="388"/>
      <c r="H8" s="388"/>
    </row>
    <row r="9" spans="1:9" ht="12.75">
      <c r="A9" s="29"/>
      <c r="B9" s="30"/>
      <c r="C9" s="31"/>
      <c r="D9" s="32"/>
      <c r="E9" s="32"/>
      <c r="F9" s="32"/>
      <c r="G9" s="32"/>
      <c r="H9" s="32"/>
      <c r="I9" s="33"/>
    </row>
    <row r="10" spans="1:9" ht="15">
      <c r="A10" s="34"/>
      <c r="B10" s="35" t="s">
        <v>157</v>
      </c>
      <c r="C10" s="36">
        <f>Parameters!C49</f>
        <v>18750000</v>
      </c>
      <c r="D10" s="37"/>
      <c r="E10" s="36">
        <v>20000000</v>
      </c>
      <c r="F10" s="37" t="s">
        <v>158</v>
      </c>
      <c r="G10" s="37"/>
      <c r="H10" s="37"/>
      <c r="I10" s="38"/>
    </row>
    <row r="11" spans="1:9" ht="12.75">
      <c r="A11" s="34"/>
      <c r="B11" s="35" t="s">
        <v>159</v>
      </c>
      <c r="C11" s="39">
        <f>BA_Data_Simulation!T12</f>
        <v>0.22</v>
      </c>
      <c r="D11" s="37"/>
      <c r="E11" s="37"/>
      <c r="F11" s="37"/>
      <c r="G11" s="37"/>
      <c r="H11" s="37"/>
      <c r="I11" s="38"/>
    </row>
    <row r="12" spans="1:9" ht="24">
      <c r="A12" s="34"/>
      <c r="B12" s="40" t="s">
        <v>160</v>
      </c>
      <c r="C12" s="36">
        <f>BA_Data!C133</f>
        <v>61701527.948051944</v>
      </c>
      <c r="D12" s="37"/>
      <c r="E12" s="36">
        <f>BA_Data!C106/exrate</f>
        <v>28579529.83116883</v>
      </c>
      <c r="F12" s="37" t="s">
        <v>230</v>
      </c>
      <c r="G12" s="37"/>
      <c r="H12" s="37"/>
      <c r="I12" s="38"/>
    </row>
    <row r="13" spans="1:9" ht="15.75" customHeight="1">
      <c r="A13" s="34"/>
      <c r="B13" s="41"/>
      <c r="C13" s="42"/>
      <c r="D13" s="42"/>
      <c r="E13" s="389" t="s">
        <v>161</v>
      </c>
      <c r="F13" s="389"/>
      <c r="G13" s="389"/>
      <c r="H13" s="389"/>
      <c r="I13" s="38"/>
    </row>
    <row r="14" spans="1:9" ht="13.5">
      <c r="A14" s="34"/>
      <c r="B14" s="43" t="s">
        <v>154</v>
      </c>
      <c r="C14" s="44" t="s">
        <v>7</v>
      </c>
      <c r="D14" s="45"/>
      <c r="E14" s="44" t="s">
        <v>149</v>
      </c>
      <c r="F14" s="44" t="s">
        <v>162</v>
      </c>
      <c r="G14" s="44" t="s">
        <v>151</v>
      </c>
      <c r="H14" s="44" t="s">
        <v>152</v>
      </c>
      <c r="I14" s="38"/>
    </row>
    <row r="15" spans="1:9" ht="6.75" customHeight="1">
      <c r="A15" s="34"/>
      <c r="B15" s="46"/>
      <c r="C15" s="47"/>
      <c r="D15" s="48"/>
      <c r="E15" s="47"/>
      <c r="F15" s="47"/>
      <c r="G15" s="47"/>
      <c r="H15" s="47"/>
      <c r="I15" s="38"/>
    </row>
    <row r="16" spans="1:9" ht="12.75">
      <c r="A16" s="34"/>
      <c r="B16" s="37" t="s">
        <v>163</v>
      </c>
      <c r="C16" s="49">
        <f>C17/4.4</f>
        <v>2977.272727272727</v>
      </c>
      <c r="D16" s="50"/>
      <c r="E16" s="51"/>
      <c r="F16" s="51"/>
      <c r="G16" s="51"/>
      <c r="H16" s="51"/>
      <c r="I16" s="38"/>
    </row>
    <row r="17" spans="1:9" ht="12.75">
      <c r="A17" s="34"/>
      <c r="B17" s="52" t="s">
        <v>164</v>
      </c>
      <c r="C17" s="19">
        <f>ROUND(BA_Data!H163,-2)</f>
        <v>13100</v>
      </c>
      <c r="D17" s="50"/>
      <c r="E17" s="53"/>
      <c r="F17" s="53"/>
      <c r="G17" s="53"/>
      <c r="H17" s="53"/>
      <c r="I17" s="38"/>
    </row>
    <row r="18" spans="1:9" ht="13.5">
      <c r="A18" s="34"/>
      <c r="B18" s="52" t="s">
        <v>165</v>
      </c>
      <c r="C18" s="19">
        <v>591000</v>
      </c>
      <c r="D18" s="50"/>
      <c r="E18" s="54"/>
      <c r="F18" s="54"/>
      <c r="G18" s="54"/>
      <c r="H18" s="54"/>
      <c r="I18" s="38"/>
    </row>
    <row r="19" spans="1:9" ht="6" customHeight="1">
      <c r="A19" s="34"/>
      <c r="B19" s="52"/>
      <c r="C19" s="19"/>
      <c r="D19" s="50"/>
      <c r="E19" s="54"/>
      <c r="F19" s="54"/>
      <c r="G19" s="54"/>
      <c r="H19" s="54"/>
      <c r="I19" s="38"/>
    </row>
    <row r="20" spans="1:9" ht="12.75">
      <c r="A20" s="34"/>
      <c r="B20" s="52" t="s">
        <v>166</v>
      </c>
      <c r="C20" s="50"/>
      <c r="D20" s="50"/>
      <c r="E20" s="55">
        <f>BA_Data!D164</f>
        <v>0.1650334551918433</v>
      </c>
      <c r="F20" s="55">
        <f>BA_Data!E164</f>
        <v>0.3667410115374296</v>
      </c>
      <c r="G20" s="55">
        <f>BA_Data!F164</f>
        <v>0.3667410115374296</v>
      </c>
      <c r="H20" s="55">
        <f>BA_Data!G164</f>
        <v>0.26651797692514084</v>
      </c>
      <c r="I20" s="56"/>
    </row>
    <row r="21" spans="1:9" ht="13.5">
      <c r="A21" s="34"/>
      <c r="B21" s="57" t="s">
        <v>167</v>
      </c>
      <c r="C21" s="58"/>
      <c r="D21" s="58"/>
      <c r="E21" s="59">
        <f>BA_Data!D93</f>
        <v>0.1631</v>
      </c>
      <c r="F21" s="59">
        <f>BA_Data!E93</f>
        <v>0.3664</v>
      </c>
      <c r="G21" s="59">
        <f>BA_Data!F93</f>
        <v>0.3473</v>
      </c>
      <c r="H21" s="59">
        <f>BA_Data!G93</f>
        <v>0.2864</v>
      </c>
      <c r="I21" s="38"/>
    </row>
    <row r="22" spans="1:9" ht="12.75">
      <c r="A22" s="60"/>
      <c r="B22" s="61"/>
      <c r="C22" s="62"/>
      <c r="D22" s="63"/>
      <c r="E22" s="64"/>
      <c r="F22" s="65"/>
      <c r="G22" s="65"/>
      <c r="H22" s="65"/>
      <c r="I22" s="38"/>
    </row>
    <row r="23" spans="1:9" ht="13.5">
      <c r="A23" s="34"/>
      <c r="B23" s="43" t="s">
        <v>208</v>
      </c>
      <c r="C23" s="44"/>
      <c r="D23" s="45"/>
      <c r="E23" s="44"/>
      <c r="F23" s="44"/>
      <c r="G23" s="44"/>
      <c r="H23" s="44"/>
      <c r="I23" s="38"/>
    </row>
    <row r="24" spans="1:9" ht="6.75" customHeight="1">
      <c r="A24" s="34"/>
      <c r="B24" s="46"/>
      <c r="C24" s="47"/>
      <c r="D24" s="48"/>
      <c r="E24" s="47"/>
      <c r="F24" s="47"/>
      <c r="G24" s="47"/>
      <c r="H24" s="47"/>
      <c r="I24" s="38"/>
    </row>
    <row r="25" spans="1:13" ht="12.75">
      <c r="A25" s="34"/>
      <c r="B25" s="52" t="s">
        <v>168</v>
      </c>
      <c r="C25" s="66">
        <f>SUMPRODUCT(F25:H25,F20:H20)</f>
        <v>2524.7272755386916</v>
      </c>
      <c r="D25" s="67"/>
      <c r="E25" s="68">
        <f>BA_Data!D167</f>
        <v>1875.2693460293203</v>
      </c>
      <c r="F25" s="68">
        <f>BA_Data!E167</f>
        <v>1875.2693460293196</v>
      </c>
      <c r="G25" s="68">
        <f>BA_Data!F167</f>
        <v>1875.2693460293196</v>
      </c>
      <c r="H25" s="68">
        <f>BA_Data!G167</f>
        <v>4312.095323031954</v>
      </c>
      <c r="I25" s="69"/>
      <c r="J25" s="70"/>
      <c r="K25" s="70"/>
      <c r="L25" s="70"/>
      <c r="M25" s="70"/>
    </row>
    <row r="26" spans="1:13" ht="13.5" customHeight="1">
      <c r="A26" s="34"/>
      <c r="B26" s="71" t="s">
        <v>169</v>
      </c>
      <c r="C26" s="72">
        <f>SUMPRODUCT(F26:H26,F20:H20)</f>
        <v>2.505213327463515</v>
      </c>
      <c r="D26" s="73"/>
      <c r="E26" s="59">
        <f>BA_Data!D169</f>
        <v>5.665466302203384</v>
      </c>
      <c r="F26" s="59">
        <f>BA_Data!E169</f>
        <v>4.015566051454646</v>
      </c>
      <c r="G26" s="59">
        <f>BA_Data!F169</f>
        <v>1.825968204507614</v>
      </c>
      <c r="H26" s="59">
        <f>BA_Data!G169</f>
        <v>1.3615709892743775</v>
      </c>
      <c r="I26" s="38"/>
      <c r="J26" s="74"/>
      <c r="K26" s="74"/>
      <c r="L26" s="74"/>
      <c r="M26" s="74"/>
    </row>
    <row r="27" spans="1:9" ht="12.75">
      <c r="A27" s="34"/>
      <c r="B27" s="75"/>
      <c r="C27" s="62"/>
      <c r="D27" s="62"/>
      <c r="E27" s="76"/>
      <c r="F27" s="76"/>
      <c r="G27" s="76"/>
      <c r="H27" s="76"/>
      <c r="I27" s="38"/>
    </row>
    <row r="28" spans="1:9" ht="12.75">
      <c r="A28" s="34"/>
      <c r="B28" s="43" t="s">
        <v>170</v>
      </c>
      <c r="C28" s="77"/>
      <c r="D28" s="77"/>
      <c r="E28" s="78"/>
      <c r="F28" s="78"/>
      <c r="G28" s="78"/>
      <c r="H28" s="78"/>
      <c r="I28" s="38"/>
    </row>
    <row r="29" spans="1:9" ht="5.25" customHeight="1">
      <c r="A29" s="34"/>
      <c r="B29" s="41"/>
      <c r="C29" s="79"/>
      <c r="D29" s="79"/>
      <c r="E29" s="80"/>
      <c r="F29" s="80"/>
      <c r="G29" s="80"/>
      <c r="H29" s="80"/>
      <c r="I29" s="38"/>
    </row>
    <row r="30" spans="1:13" ht="12.75">
      <c r="A30" s="34"/>
      <c r="B30" s="57" t="s">
        <v>237</v>
      </c>
      <c r="C30" s="81">
        <f>($C$12-E12)/$C$10</f>
        <v>1.766506566233766</v>
      </c>
      <c r="D30" s="82"/>
      <c r="E30" s="83">
        <f>E25*($C17*E20)/$C10</f>
        <v>0.21622488280727623</v>
      </c>
      <c r="F30" s="83">
        <f>F25*($C17*F20)/$C10</f>
        <v>0.4804997395717248</v>
      </c>
      <c r="G30" s="83">
        <f>G25*($C17*G20)/$C10</f>
        <v>0.4804997395717248</v>
      </c>
      <c r="H30" s="83">
        <f>H25*($C17*H20)/$C10</f>
        <v>0.8029433106995828</v>
      </c>
      <c r="I30" s="38"/>
      <c r="J30" s="70"/>
      <c r="K30" s="70"/>
      <c r="L30" s="70"/>
      <c r="M30" s="70"/>
    </row>
    <row r="31" spans="1:9" ht="12.75">
      <c r="A31" s="34"/>
      <c r="B31" s="52"/>
      <c r="C31" s="84"/>
      <c r="D31" s="85"/>
      <c r="E31" s="86"/>
      <c r="F31" s="86"/>
      <c r="G31" s="86"/>
      <c r="H31" s="86"/>
      <c r="I31" s="38"/>
    </row>
    <row r="32" spans="1:9" ht="12.75">
      <c r="A32" s="34"/>
      <c r="B32" s="75"/>
      <c r="C32" s="62"/>
      <c r="D32" s="62"/>
      <c r="E32" s="76"/>
      <c r="F32" s="76"/>
      <c r="G32" s="76"/>
      <c r="H32" s="76"/>
      <c r="I32" s="38"/>
    </row>
    <row r="33" spans="1:13" ht="12.75" hidden="1">
      <c r="A33" s="34"/>
      <c r="B33" s="35" t="s">
        <v>171</v>
      </c>
      <c r="C33" s="87"/>
      <c r="D33" s="88"/>
      <c r="E33" s="89"/>
      <c r="F33" s="89"/>
      <c r="G33" s="89"/>
      <c r="H33" s="89"/>
      <c r="I33" s="38"/>
      <c r="J33" s="70"/>
      <c r="K33" s="70"/>
      <c r="L33" s="70"/>
      <c r="M33" s="70"/>
    </row>
    <row r="34" spans="1:13" ht="12.75" hidden="1">
      <c r="A34" s="34"/>
      <c r="B34" s="52"/>
      <c r="C34" s="90"/>
      <c r="D34" s="88"/>
      <c r="E34" s="89"/>
      <c r="F34" s="89"/>
      <c r="G34" s="89"/>
      <c r="H34" s="89"/>
      <c r="I34" s="38"/>
      <c r="J34" s="70"/>
      <c r="K34" s="70"/>
      <c r="L34" s="70"/>
      <c r="M34" s="70"/>
    </row>
    <row r="35" spans="1:9" ht="13.5">
      <c r="A35" s="34"/>
      <c r="B35" s="52" t="s">
        <v>172</v>
      </c>
      <c r="C35" s="91">
        <v>3010</v>
      </c>
      <c r="D35" s="37"/>
      <c r="E35" s="37"/>
      <c r="F35" s="37"/>
      <c r="G35" s="37"/>
      <c r="H35" s="37"/>
      <c r="I35" s="38"/>
    </row>
    <row r="36" spans="1:9" ht="12.75">
      <c r="A36" s="34"/>
      <c r="B36" s="52" t="s">
        <v>173</v>
      </c>
      <c r="C36" s="92">
        <v>500000</v>
      </c>
      <c r="D36" s="37"/>
      <c r="E36" s="37"/>
      <c r="F36" s="37"/>
      <c r="G36" s="37"/>
      <c r="H36" s="37"/>
      <c r="I36" s="38"/>
    </row>
    <row r="37" spans="1:9" ht="12.75">
      <c r="A37" s="34"/>
      <c r="B37" s="52"/>
      <c r="C37" s="93"/>
      <c r="D37" s="37"/>
      <c r="E37" s="37"/>
      <c r="F37" s="37"/>
      <c r="G37" s="37"/>
      <c r="H37" s="37"/>
      <c r="I37" s="38"/>
    </row>
    <row r="38" spans="1:9" ht="12.75">
      <c r="A38" s="34"/>
      <c r="B38" s="94" t="s">
        <v>410</v>
      </c>
      <c r="C38" s="95"/>
      <c r="D38" s="37"/>
      <c r="E38" s="96"/>
      <c r="F38" s="96"/>
      <c r="G38" s="96"/>
      <c r="H38" s="96"/>
      <c r="I38" s="38"/>
    </row>
    <row r="39" spans="1:9" ht="12.75">
      <c r="A39" s="34"/>
      <c r="B39" s="97" t="s">
        <v>174</v>
      </c>
      <c r="C39" s="95"/>
      <c r="D39" s="37"/>
      <c r="E39" s="96"/>
      <c r="F39" s="96"/>
      <c r="G39" s="96"/>
      <c r="H39" s="96"/>
      <c r="I39" s="38"/>
    </row>
    <row r="40" spans="1:9" ht="12.75">
      <c r="A40" s="34"/>
      <c r="B40" s="97" t="s">
        <v>175</v>
      </c>
      <c r="C40" s="95"/>
      <c r="D40" s="37"/>
      <c r="E40" s="96"/>
      <c r="F40" s="96"/>
      <c r="G40" s="96"/>
      <c r="H40" s="96"/>
      <c r="I40" s="38"/>
    </row>
    <row r="41" spans="1:9" ht="12.75">
      <c r="A41" s="34"/>
      <c r="B41" s="98" t="s">
        <v>210</v>
      </c>
      <c r="C41" s="22"/>
      <c r="D41" s="22"/>
      <c r="E41" s="22"/>
      <c r="F41" s="22"/>
      <c r="G41" s="22"/>
      <c r="H41" s="22"/>
      <c r="I41" s="38"/>
    </row>
    <row r="42" spans="1:9" s="22" customFormat="1" ht="12.75">
      <c r="A42" s="34"/>
      <c r="B42" s="98" t="s">
        <v>211</v>
      </c>
      <c r="I42" s="38"/>
    </row>
    <row r="43" spans="1:9" s="22" customFormat="1" ht="13.5" thickBot="1">
      <c r="A43" s="99"/>
      <c r="B43" s="100" t="s">
        <v>209</v>
      </c>
      <c r="C43" s="101"/>
      <c r="D43" s="101"/>
      <c r="E43" s="101"/>
      <c r="F43" s="101"/>
      <c r="G43" s="101"/>
      <c r="H43" s="101"/>
      <c r="I43" s="102"/>
    </row>
    <row r="44" ht="12.75">
      <c r="A44" s="22"/>
    </row>
  </sheetData>
  <sheetProtection/>
  <mergeCells count="5">
    <mergeCell ref="C4:I4"/>
    <mergeCell ref="C5:H5"/>
    <mergeCell ref="B7:H7"/>
    <mergeCell ref="B8:H8"/>
    <mergeCell ref="E13:H13"/>
  </mergeCells>
  <printOptions horizontalCentered="1"/>
  <pageMargins left="0.75" right="0.75" top="1" bottom="1" header="0.5" footer="0.5"/>
  <pageSetup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codeName="Sheet2"/>
  <dimension ref="A2:B33"/>
  <sheetViews>
    <sheetView zoomScalePageLayoutView="0" workbookViewId="0" topLeftCell="A1">
      <selection activeCell="A1" sqref="A1"/>
    </sheetView>
  </sheetViews>
  <sheetFormatPr defaultColWidth="9.140625" defaultRowHeight="15"/>
  <cols>
    <col min="1" max="1" width="7.7109375" style="232" customWidth="1"/>
    <col min="2" max="2" width="127.57421875" style="232" customWidth="1"/>
    <col min="3" max="3" width="9.140625" style="232" customWidth="1"/>
    <col min="4" max="4" width="20.8515625" style="232" customWidth="1"/>
    <col min="5" max="16384" width="9.140625" style="232" customWidth="1"/>
  </cols>
  <sheetData>
    <row r="2" ht="20.25">
      <c r="B2" s="131" t="s">
        <v>432</v>
      </c>
    </row>
    <row r="3" s="233" customFormat="1" ht="12.75">
      <c r="B3" s="234"/>
    </row>
    <row r="4" ht="18">
      <c r="B4" s="235"/>
    </row>
    <row r="5" ht="18">
      <c r="A5" s="236"/>
    </row>
    <row r="6" spans="1:2" ht="18">
      <c r="A6" s="236"/>
      <c r="B6" s="336" t="s">
        <v>371</v>
      </c>
    </row>
    <row r="7" ht="102">
      <c r="B7" s="218" t="s">
        <v>411</v>
      </c>
    </row>
    <row r="8" spans="1:2" ht="12.75">
      <c r="A8" s="238"/>
      <c r="B8" s="237"/>
    </row>
    <row r="9" spans="1:2" ht="12.75">
      <c r="A9" s="238"/>
      <c r="B9" s="239" t="s">
        <v>372</v>
      </c>
    </row>
    <row r="10" spans="1:2" ht="12.75">
      <c r="A10" s="238"/>
      <c r="B10" s="233" t="s">
        <v>433</v>
      </c>
    </row>
    <row r="11" spans="1:2" ht="12.75">
      <c r="A11" s="238"/>
      <c r="B11" s="217" t="s">
        <v>413</v>
      </c>
    </row>
    <row r="12" spans="1:2" ht="12.75">
      <c r="A12" s="238"/>
      <c r="B12" s="233" t="s">
        <v>414</v>
      </c>
    </row>
    <row r="13" spans="1:2" ht="12.75">
      <c r="A13" s="238"/>
      <c r="B13" s="232" t="s">
        <v>412</v>
      </c>
    </row>
    <row r="14" spans="1:2" ht="12.75">
      <c r="A14" s="238"/>
      <c r="B14" s="239"/>
    </row>
    <row r="15" spans="1:2" ht="12.75">
      <c r="A15" s="238"/>
      <c r="B15" s="233" t="s">
        <v>434</v>
      </c>
    </row>
    <row r="16" spans="1:2" ht="25.5">
      <c r="A16" s="238"/>
      <c r="B16" s="217" t="s">
        <v>415</v>
      </c>
    </row>
    <row r="17" spans="1:2" ht="12.75">
      <c r="A17" s="238"/>
      <c r="B17" s="233" t="s">
        <v>416</v>
      </c>
    </row>
    <row r="18" spans="1:2" ht="12.75">
      <c r="A18" s="238"/>
      <c r="B18" s="233" t="s">
        <v>417</v>
      </c>
    </row>
    <row r="19" spans="1:2" ht="12.75">
      <c r="A19" s="238"/>
      <c r="B19" s="237"/>
    </row>
    <row r="20" spans="1:2" ht="12.75">
      <c r="A20" s="238"/>
      <c r="B20" s="337" t="s">
        <v>345</v>
      </c>
    </row>
    <row r="21" spans="1:2" ht="63.75">
      <c r="A21" s="238"/>
      <c r="B21" s="240" t="s">
        <v>418</v>
      </c>
    </row>
    <row r="22" spans="1:2" ht="12.75">
      <c r="A22" s="238"/>
      <c r="B22" s="240"/>
    </row>
    <row r="23" spans="1:2" ht="12.75">
      <c r="A23" s="238"/>
      <c r="B23" s="241"/>
    </row>
    <row r="24" spans="1:2" ht="12.75">
      <c r="A24" s="238"/>
      <c r="B24" s="241"/>
    </row>
    <row r="25" ht="12.75">
      <c r="B25" s="242" t="str">
        <f>'User''s Guide'!C1</f>
        <v>Last  Updated : 'September 2011</v>
      </c>
    </row>
    <row r="26" ht="12.75"/>
    <row r="33" ht="12.75">
      <c r="B33" s="23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L88"/>
  <sheetViews>
    <sheetView showGridLines="0" zoomScale="85" zoomScaleNormal="85" zoomScalePageLayoutView="0" workbookViewId="0" topLeftCell="A37">
      <selection activeCell="A2" sqref="A2"/>
    </sheetView>
  </sheetViews>
  <sheetFormatPr defaultColWidth="9.140625" defaultRowHeight="15"/>
  <cols>
    <col min="1" max="1" width="7.7109375" style="133" customWidth="1"/>
    <col min="2" max="2" width="16.28125" style="133" customWidth="1"/>
    <col min="3" max="3" width="52.57421875" style="133" customWidth="1"/>
    <col min="4" max="4" width="16.8515625" style="133" customWidth="1"/>
    <col min="5" max="5" width="15.00390625" style="133" customWidth="1"/>
    <col min="6" max="8" width="15.140625" style="133" customWidth="1"/>
    <col min="9" max="9" width="18.28125" style="133" customWidth="1"/>
    <col min="10" max="10" width="5.7109375" style="133" customWidth="1"/>
    <col min="11" max="11" width="20.7109375" style="133" customWidth="1"/>
    <col min="12" max="16384" width="9.140625" style="133" customWidth="1"/>
  </cols>
  <sheetData>
    <row r="1" spans="2:9" s="127" customFormat="1" ht="12.75">
      <c r="B1" s="128"/>
      <c r="C1" s="129"/>
      <c r="I1" s="242" t="str">
        <f>'User''s Guide'!C1</f>
        <v>Last  Updated : 'September 2011</v>
      </c>
    </row>
    <row r="2" spans="1:9" ht="20.25">
      <c r="A2" s="130"/>
      <c r="B2" s="131" t="s">
        <v>432</v>
      </c>
      <c r="C2" s="130"/>
      <c r="D2" s="130"/>
      <c r="E2" s="130"/>
      <c r="F2" s="130"/>
      <c r="G2" s="130"/>
      <c r="H2" s="130"/>
      <c r="I2" s="132"/>
    </row>
    <row r="3" spans="1:9" ht="30.75" customHeight="1">
      <c r="A3" s="130"/>
      <c r="B3" s="134"/>
      <c r="C3" s="130"/>
      <c r="D3" s="130"/>
      <c r="E3" s="130"/>
      <c r="F3" s="130"/>
      <c r="G3" s="130"/>
      <c r="H3" s="130"/>
      <c r="I3" s="130"/>
    </row>
    <row r="4" spans="1:9" ht="27.75" customHeight="1">
      <c r="A4" s="130"/>
      <c r="B4" s="135" t="s">
        <v>287</v>
      </c>
      <c r="C4" s="130"/>
      <c r="D4" s="130"/>
      <c r="E4" s="130"/>
      <c r="F4" s="130"/>
      <c r="G4" s="130"/>
      <c r="H4" s="130"/>
      <c r="I4" s="136"/>
    </row>
    <row r="5" ht="12.75" customHeight="1">
      <c r="C5" s="137"/>
    </row>
    <row r="6" spans="2:9" ht="39.75" customHeight="1">
      <c r="B6" s="376" t="s">
        <v>288</v>
      </c>
      <c r="C6" s="376"/>
      <c r="D6" s="376"/>
      <c r="E6" s="376"/>
      <c r="F6" s="376"/>
      <c r="G6" s="376"/>
      <c r="H6" s="376"/>
      <c r="I6" s="376"/>
    </row>
    <row r="8" spans="2:9" s="137" customFormat="1" ht="15.75">
      <c r="B8" s="370" t="s">
        <v>289</v>
      </c>
      <c r="C8" s="372" t="s">
        <v>290</v>
      </c>
      <c r="D8" s="377" t="s">
        <v>291</v>
      </c>
      <c r="E8" s="378"/>
      <c r="F8" s="378"/>
      <c r="G8" s="378"/>
      <c r="H8" s="378"/>
      <c r="I8" s="379"/>
    </row>
    <row r="9" spans="2:12" s="137" customFormat="1" ht="39" thickBot="1">
      <c r="B9" s="371"/>
      <c r="C9" s="373"/>
      <c r="D9" s="138" t="s">
        <v>327</v>
      </c>
      <c r="E9" s="139" t="s">
        <v>328</v>
      </c>
      <c r="F9" s="140" t="s">
        <v>329</v>
      </c>
      <c r="G9" s="140" t="s">
        <v>330</v>
      </c>
      <c r="H9" s="140" t="s">
        <v>331</v>
      </c>
      <c r="I9" s="139" t="s">
        <v>292</v>
      </c>
      <c r="K9" s="261" t="s">
        <v>293</v>
      </c>
      <c r="L9" s="141"/>
    </row>
    <row r="10" spans="2:11" ht="38.25" customHeight="1">
      <c r="B10" s="142" t="s">
        <v>294</v>
      </c>
      <c r="C10" s="143" t="s">
        <v>295</v>
      </c>
      <c r="D10" s="144">
        <v>1</v>
      </c>
      <c r="E10" s="145">
        <v>1</v>
      </c>
      <c r="F10" s="146" t="s">
        <v>296</v>
      </c>
      <c r="G10" s="146" t="s">
        <v>326</v>
      </c>
      <c r="H10" s="146" t="s">
        <v>326</v>
      </c>
      <c r="I10" s="147">
        <f>D10</f>
        <v>1</v>
      </c>
      <c r="K10" s="148" t="str">
        <f>IF(D10=E10,IF(D11=E11,"Y","N"),"N")</f>
        <v>Y</v>
      </c>
    </row>
    <row r="11" spans="2:9" ht="40.5" customHeight="1">
      <c r="B11" s="149" t="s">
        <v>294</v>
      </c>
      <c r="C11" s="150" t="s">
        <v>297</v>
      </c>
      <c r="D11" s="151">
        <v>1</v>
      </c>
      <c r="E11" s="152">
        <v>1</v>
      </c>
      <c r="F11" s="153" t="s">
        <v>296</v>
      </c>
      <c r="G11" s="146" t="s">
        <v>326</v>
      </c>
      <c r="H11" s="146" t="s">
        <v>326</v>
      </c>
      <c r="I11" s="154">
        <f>D11</f>
        <v>1</v>
      </c>
    </row>
    <row r="12" spans="2:9" ht="14.25" customHeight="1">
      <c r="B12" s="168"/>
      <c r="C12" s="168"/>
      <c r="D12" s="168"/>
      <c r="E12" s="168"/>
      <c r="F12" s="168"/>
      <c r="G12" s="168"/>
      <c r="H12" s="168"/>
      <c r="I12" s="168"/>
    </row>
    <row r="13" spans="2:11" ht="38.25" customHeight="1">
      <c r="B13" s="253" t="s">
        <v>373</v>
      </c>
      <c r="C13" s="338" t="s">
        <v>379</v>
      </c>
      <c r="D13" s="339">
        <v>1</v>
      </c>
      <c r="E13" s="340">
        <v>1</v>
      </c>
      <c r="F13" s="340" t="s">
        <v>435</v>
      </c>
      <c r="G13" s="278"/>
      <c r="H13" s="279"/>
      <c r="I13" s="254">
        <f>D13</f>
        <v>1</v>
      </c>
      <c r="K13" s="374" t="s">
        <v>374</v>
      </c>
    </row>
    <row r="14" spans="2:11" ht="38.25" customHeight="1">
      <c r="B14" s="255" t="s">
        <v>373</v>
      </c>
      <c r="C14" s="341" t="s">
        <v>381</v>
      </c>
      <c r="D14" s="342">
        <v>24</v>
      </c>
      <c r="E14" s="343">
        <v>24</v>
      </c>
      <c r="F14" s="344" t="s">
        <v>380</v>
      </c>
      <c r="G14" s="280"/>
      <c r="H14" s="281"/>
      <c r="I14" s="256">
        <f>D14</f>
        <v>24</v>
      </c>
      <c r="K14" s="375"/>
    </row>
    <row r="15" spans="2:11" ht="38.25" customHeight="1">
      <c r="B15" s="257" t="s">
        <v>373</v>
      </c>
      <c r="C15" s="341" t="s">
        <v>382</v>
      </c>
      <c r="D15" s="345">
        <v>0.33</v>
      </c>
      <c r="E15" s="346">
        <v>0.33</v>
      </c>
      <c r="F15" s="346" t="s">
        <v>436</v>
      </c>
      <c r="G15" s="282"/>
      <c r="H15" s="283"/>
      <c r="I15" s="258">
        <f>IF($K$10="Y",IF(D15&lt;0,0%,D15),E15)</f>
        <v>0.33</v>
      </c>
      <c r="K15" s="291" t="str">
        <f>IF(D13=E13,IF(D14=E14,IF(D16=E16,IF(D17=E17,IF(D18=E18,"Y","N"),"N"),"N"),"N"),"N")</f>
        <v>Y</v>
      </c>
    </row>
    <row r="16" spans="2:11" ht="38.25" customHeight="1">
      <c r="B16" s="255" t="s">
        <v>373</v>
      </c>
      <c r="C16" s="341" t="s">
        <v>383</v>
      </c>
      <c r="D16" s="345">
        <v>0.25</v>
      </c>
      <c r="E16" s="346">
        <v>0.25</v>
      </c>
      <c r="F16" s="346" t="s">
        <v>437</v>
      </c>
      <c r="G16" s="282"/>
      <c r="H16" s="283"/>
      <c r="I16" s="259">
        <f>IF($K$10="Y",IF(D16&lt;0,0%,D16),E16)</f>
        <v>0.25</v>
      </c>
      <c r="K16" s="290"/>
    </row>
    <row r="17" spans="2:9" ht="38.25" customHeight="1">
      <c r="B17" s="255" t="s">
        <v>373</v>
      </c>
      <c r="C17" s="341" t="s">
        <v>384</v>
      </c>
      <c r="D17" s="347">
        <v>300</v>
      </c>
      <c r="E17" s="348">
        <v>300</v>
      </c>
      <c r="F17" s="348" t="s">
        <v>438</v>
      </c>
      <c r="G17" s="284"/>
      <c r="H17" s="285"/>
      <c r="I17" s="256">
        <f>IF($K$10="Y",IF(D17&lt;0,0%,D17),E17)</f>
        <v>300</v>
      </c>
    </row>
    <row r="18" spans="2:9" ht="38.25" customHeight="1">
      <c r="B18" s="260" t="s">
        <v>373</v>
      </c>
      <c r="C18" s="349" t="s">
        <v>386</v>
      </c>
      <c r="D18" s="350">
        <v>1</v>
      </c>
      <c r="E18" s="351">
        <v>1</v>
      </c>
      <c r="F18" s="352" t="s">
        <v>435</v>
      </c>
      <c r="G18" s="286"/>
      <c r="H18" s="287"/>
      <c r="I18" s="277">
        <f>D18</f>
        <v>1</v>
      </c>
    </row>
    <row r="19" spans="2:9" ht="15">
      <c r="B19" s="262"/>
      <c r="C19" s="263"/>
      <c r="D19" s="266"/>
      <c r="E19" s="264"/>
      <c r="F19" s="264"/>
      <c r="G19" s="264"/>
      <c r="H19" s="265"/>
      <c r="I19" s="267"/>
    </row>
    <row r="20" spans="2:11" ht="35.25" customHeight="1">
      <c r="B20" s="381">
        <f>IF(K10="N",IF(K15="N","Reminder: Please reset all summary parameters to original values before changing specific parameters.  Specific parameters will only be used in ERR computation when all summary parameters are set to initial values",0),0)</f>
        <v>0</v>
      </c>
      <c r="C20" s="381"/>
      <c r="D20" s="381"/>
      <c r="E20" s="381"/>
      <c r="F20" s="381"/>
      <c r="G20" s="381"/>
      <c r="H20" s="381"/>
      <c r="I20" s="381"/>
      <c r="J20" s="380"/>
      <c r="K20" s="155" t="s">
        <v>298</v>
      </c>
    </row>
    <row r="21" spans="2:11" ht="12.75">
      <c r="B21" s="169"/>
      <c r="C21" s="158"/>
      <c r="D21" s="158"/>
      <c r="E21" s="158"/>
      <c r="F21" s="158"/>
      <c r="G21" s="191"/>
      <c r="H21" s="191"/>
      <c r="I21" s="158"/>
      <c r="J21" s="380"/>
      <c r="K21" s="156" t="s">
        <v>299</v>
      </c>
    </row>
    <row r="22" spans="2:11" ht="19.5" customHeight="1">
      <c r="B22" s="170"/>
      <c r="C22" s="159" t="s">
        <v>301</v>
      </c>
      <c r="D22" s="160">
        <f>'Aggregate Cost-Benefit Summary'!C39</f>
        <v>0.25059750096025635</v>
      </c>
      <c r="E22" s="161"/>
      <c r="J22" s="380"/>
      <c r="K22" s="157" t="s">
        <v>300</v>
      </c>
    </row>
    <row r="23" spans="2:10" ht="15.75" customHeight="1">
      <c r="B23" s="169"/>
      <c r="C23" s="159"/>
      <c r="D23" s="162"/>
      <c r="E23" s="161"/>
      <c r="J23" s="380"/>
    </row>
    <row r="24" spans="2:10" ht="19.5" customHeight="1">
      <c r="B24" s="169"/>
      <c r="C24" s="159" t="s">
        <v>302</v>
      </c>
      <c r="D24" s="189"/>
      <c r="E24" s="190" t="s">
        <v>303</v>
      </c>
      <c r="F24" s="181"/>
      <c r="G24" s="181"/>
      <c r="H24" s="181"/>
      <c r="I24" s="182"/>
      <c r="J24" s="380"/>
    </row>
    <row r="25" spans="3:9" ht="19.5" customHeight="1">
      <c r="C25" s="159"/>
      <c r="D25" s="155" t="s">
        <v>323</v>
      </c>
      <c r="E25" s="188">
        <v>0.22</v>
      </c>
      <c r="F25" s="183"/>
      <c r="G25" s="183"/>
      <c r="H25" s="183"/>
      <c r="I25" s="184"/>
    </row>
    <row r="26" spans="4:9" ht="19.5" customHeight="1">
      <c r="D26" s="155" t="s">
        <v>304</v>
      </c>
      <c r="E26" s="353" t="s">
        <v>419</v>
      </c>
      <c r="F26" s="185"/>
      <c r="G26" s="185"/>
      <c r="H26" s="185"/>
      <c r="I26" s="186"/>
    </row>
    <row r="27" ht="12" customHeight="1">
      <c r="B27" s="158"/>
    </row>
    <row r="28" spans="3:5" ht="12.75">
      <c r="C28" s="163" t="s">
        <v>305</v>
      </c>
      <c r="D28" s="164">
        <f>'Aggregate Cost-Benefit Summary'!D17</f>
        <v>102950182.74580167</v>
      </c>
      <c r="E28" s="289" t="s">
        <v>387</v>
      </c>
    </row>
    <row r="29" spans="3:4" ht="12.75">
      <c r="C29" s="163"/>
      <c r="D29" s="165"/>
    </row>
    <row r="30" spans="3:5" ht="12.75">
      <c r="C30" s="163" t="s">
        <v>306</v>
      </c>
      <c r="D30" s="294">
        <f>'Aggregate Cost-Benefit Summary'!D33</f>
        <v>60023769.73897046</v>
      </c>
      <c r="E30" s="289" t="s">
        <v>387</v>
      </c>
    </row>
    <row r="31" spans="3:4" ht="12.75">
      <c r="C31" s="166"/>
      <c r="D31" s="166"/>
    </row>
    <row r="32" ht="12.75">
      <c r="C32" s="167" t="s">
        <v>307</v>
      </c>
    </row>
    <row r="33" spans="3:9" ht="52.5" customHeight="1">
      <c r="C33" s="369" t="s">
        <v>324</v>
      </c>
      <c r="D33" s="369"/>
      <c r="E33" s="369"/>
      <c r="F33" s="369"/>
      <c r="G33" s="369"/>
      <c r="H33" s="369"/>
      <c r="I33" s="369"/>
    </row>
    <row r="37" spans="3:5" ht="15">
      <c r="C37" s="133" t="s">
        <v>319</v>
      </c>
      <c r="E37" s="179" t="s">
        <v>321</v>
      </c>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5" spans="3:5" ht="15">
      <c r="C65" s="133" t="s">
        <v>320</v>
      </c>
      <c r="E65" s="179" t="s">
        <v>321</v>
      </c>
    </row>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spans="3:8" ht="22.5" customHeight="1">
      <c r="C86" s="368" t="s">
        <v>308</v>
      </c>
      <c r="D86" s="368"/>
      <c r="E86" s="368"/>
      <c r="F86" s="368"/>
      <c r="G86" s="192"/>
      <c r="H86" s="192"/>
    </row>
    <row r="87" spans="3:8" ht="42" customHeight="1">
      <c r="C87" s="368" t="s">
        <v>309</v>
      </c>
      <c r="D87" s="368"/>
      <c r="E87" s="368"/>
      <c r="F87" s="368"/>
      <c r="G87" s="192"/>
      <c r="H87" s="192"/>
    </row>
    <row r="88" spans="3:8" ht="12.75">
      <c r="C88" s="167"/>
      <c r="D88" s="167"/>
      <c r="E88" s="167"/>
      <c r="F88" s="167"/>
      <c r="G88" s="167"/>
      <c r="H88" s="167"/>
    </row>
  </sheetData>
  <sheetProtection/>
  <mergeCells count="10">
    <mergeCell ref="B6:I6"/>
    <mergeCell ref="D8:I8"/>
    <mergeCell ref="J20:J24"/>
    <mergeCell ref="B20:I20"/>
    <mergeCell ref="C86:F86"/>
    <mergeCell ref="C87:F87"/>
    <mergeCell ref="C33:I33"/>
    <mergeCell ref="B8:B9"/>
    <mergeCell ref="C8:C9"/>
    <mergeCell ref="K13:K14"/>
  </mergeCells>
  <conditionalFormatting sqref="B27 B12 B20">
    <cfRule type="cellIs" priority="1" dxfId="26" operator="equal" stopIfTrue="1">
      <formula>0</formula>
    </cfRule>
    <cfRule type="cellIs" priority="2" dxfId="27" operator="notEqual" stopIfTrue="1">
      <formula>0</formula>
    </cfRule>
  </conditionalFormatting>
  <hyperlinks>
    <hyperlink ref="K21" location="'Project Description'!A1" display="Project Description"/>
    <hyperlink ref="K22" location="'User''s Guide'!A1" display="User's Guide"/>
    <hyperlink ref="E37" location="'Combined Cost-Benefit'!A1" display="(See &quot;Combined Cost Benefit&quot; tab for details)"/>
    <hyperlink ref="E65" location="'Combined Cost-Benefit'!A1" display="(See &quot;Combined Cost Benefit&quot; tab for details)"/>
  </hyperlinks>
  <printOptions/>
  <pageMargins left="1.57" right="0.75" top="0.49" bottom="0.49" header="0.5" footer="0.5"/>
  <pageSetup fitToHeight="1" fitToWidth="1" horizontalDpi="600" verticalDpi="600" orientation="landscape" scale="39" r:id="rId3"/>
  <drawing r:id="rId2"/>
  <legacyDrawing r:id="rId1"/>
</worksheet>
</file>

<file path=xl/worksheets/sheet4.xml><?xml version="1.0" encoding="utf-8"?>
<worksheet xmlns="http://schemas.openxmlformats.org/spreadsheetml/2006/main" xmlns:r="http://schemas.openxmlformats.org/officeDocument/2006/relationships">
  <sheetPr codeName="Sheet3"/>
  <dimension ref="B1:Y87"/>
  <sheetViews>
    <sheetView zoomScalePageLayoutView="0" workbookViewId="0" topLeftCell="A7">
      <selection activeCell="D29" sqref="D29"/>
    </sheetView>
  </sheetViews>
  <sheetFormatPr defaultColWidth="9.140625" defaultRowHeight="15"/>
  <cols>
    <col min="1" max="1" width="7.7109375" style="0" customWidth="1"/>
    <col min="2" max="2" width="45.7109375" style="0" bestFit="1" customWidth="1"/>
    <col min="3" max="3" width="14.28125" style="0" bestFit="1" customWidth="1"/>
    <col min="4" max="4" width="17.28125" style="0" bestFit="1" customWidth="1"/>
    <col min="14" max="14" width="12.00390625" style="0" bestFit="1" customWidth="1"/>
  </cols>
  <sheetData>
    <row r="1" spans="2:1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K1" s="242" t="str">
        <f>'User''s Guide'!C1</f>
        <v>Last  Updated : 'September 2011</v>
      </c>
    </row>
    <row r="2" spans="2:10" s="133" customFormat="1" ht="20.25">
      <c r="B2" s="131" t="s">
        <v>432</v>
      </c>
      <c r="D2" s="130"/>
      <c r="E2" s="130"/>
      <c r="F2" s="130"/>
      <c r="G2" s="130"/>
      <c r="H2" s="130"/>
      <c r="I2" s="130"/>
      <c r="J2" s="132"/>
    </row>
    <row r="3" spans="2:10" ht="18.75">
      <c r="B3" s="299" t="s">
        <v>394</v>
      </c>
      <c r="E3" s="318" t="s">
        <v>404</v>
      </c>
      <c r="F3" s="319"/>
      <c r="G3" s="319"/>
      <c r="H3" s="319"/>
      <c r="I3" s="319"/>
      <c r="J3" s="320"/>
    </row>
    <row r="4" spans="2:11" ht="18.75">
      <c r="B4" s="299"/>
      <c r="E4" s="321" t="s">
        <v>295</v>
      </c>
      <c r="F4" s="322"/>
      <c r="G4" s="322"/>
      <c r="H4" s="322"/>
      <c r="I4" s="322"/>
      <c r="J4" s="323">
        <f>'ERR &amp; Sensitivity Analysis'!I10</f>
        <v>1</v>
      </c>
      <c r="K4" t="s">
        <v>421</v>
      </c>
    </row>
    <row r="5" spans="2:10" ht="18.75">
      <c r="B5" s="299"/>
      <c r="E5" s="321"/>
      <c r="F5" s="322"/>
      <c r="G5" s="322"/>
      <c r="H5" s="322"/>
      <c r="I5" s="322"/>
      <c r="J5" s="324"/>
    </row>
    <row r="6" spans="2:10" ht="15">
      <c r="B6" s="12"/>
      <c r="E6" s="325" t="s">
        <v>405</v>
      </c>
      <c r="F6" s="322"/>
      <c r="G6" s="322"/>
      <c r="H6" s="322"/>
      <c r="I6" s="322"/>
      <c r="J6" s="324"/>
    </row>
    <row r="7" spans="2:10" ht="15">
      <c r="B7" s="12" t="s">
        <v>23</v>
      </c>
      <c r="E7" s="326" t="s">
        <v>297</v>
      </c>
      <c r="F7" s="327"/>
      <c r="G7" s="327"/>
      <c r="H7" s="327"/>
      <c r="I7" s="327"/>
      <c r="J7" s="328">
        <f>'ERR &amp; Sensitivity Analysis'!I11</f>
        <v>1</v>
      </c>
    </row>
    <row r="9" spans="4:25" ht="15">
      <c r="D9" s="297" t="s">
        <v>28</v>
      </c>
      <c r="E9" s="12">
        <v>0</v>
      </c>
      <c r="F9" s="12">
        <v>1</v>
      </c>
      <c r="G9" s="12">
        <v>2</v>
      </c>
      <c r="H9" s="12">
        <v>3</v>
      </c>
      <c r="I9" s="12">
        <v>4</v>
      </c>
      <c r="J9" s="12">
        <v>5</v>
      </c>
      <c r="K9" s="12">
        <v>6</v>
      </c>
      <c r="L9" s="12">
        <v>7</v>
      </c>
      <c r="M9" s="12">
        <v>8</v>
      </c>
      <c r="N9" s="12">
        <v>9</v>
      </c>
      <c r="O9" s="12">
        <v>10</v>
      </c>
      <c r="P9" s="12">
        <v>11</v>
      </c>
      <c r="Q9" s="12">
        <v>12</v>
      </c>
      <c r="R9" s="12">
        <v>13</v>
      </c>
      <c r="S9" s="12">
        <v>14</v>
      </c>
      <c r="T9" s="12">
        <v>15</v>
      </c>
      <c r="U9" s="12">
        <v>16</v>
      </c>
      <c r="V9" s="12">
        <v>17</v>
      </c>
      <c r="W9" s="12">
        <v>18</v>
      </c>
      <c r="X9" s="12">
        <v>19</v>
      </c>
      <c r="Y9" s="12">
        <v>20</v>
      </c>
    </row>
    <row r="10" spans="4:25" ht="15">
      <c r="D10" s="298">
        <v>2010</v>
      </c>
      <c r="E10" s="298">
        <v>2011</v>
      </c>
      <c r="F10" s="298">
        <v>2012</v>
      </c>
      <c r="G10" s="298">
        <v>2013</v>
      </c>
      <c r="H10" s="298">
        <v>2014</v>
      </c>
      <c r="I10" s="298">
        <v>2015</v>
      </c>
      <c r="J10" s="298">
        <v>2016</v>
      </c>
      <c r="K10" s="298">
        <v>2017</v>
      </c>
      <c r="L10" s="298">
        <v>2018</v>
      </c>
      <c r="M10" s="298">
        <v>2019</v>
      </c>
      <c r="N10" s="298">
        <v>2020</v>
      </c>
      <c r="O10" s="298">
        <v>2021</v>
      </c>
      <c r="P10" s="298">
        <v>2022</v>
      </c>
      <c r="Q10" s="298">
        <v>2023</v>
      </c>
      <c r="R10" s="298">
        <v>2024</v>
      </c>
      <c r="S10" s="298">
        <v>2025</v>
      </c>
      <c r="T10" s="298">
        <v>2026</v>
      </c>
      <c r="U10" s="298">
        <v>2027</v>
      </c>
      <c r="V10" s="298">
        <v>2028</v>
      </c>
      <c r="W10" s="298">
        <v>2029</v>
      </c>
      <c r="X10" s="298">
        <v>2030</v>
      </c>
      <c r="Y10" s="298">
        <v>2031</v>
      </c>
    </row>
    <row r="11" spans="2:25" ht="15">
      <c r="B11" t="s">
        <v>52</v>
      </c>
      <c r="D11" s="4">
        <f>AnalysisSVic!E46+AnalysisSal!E47+AnalysisBV!E47</f>
        <v>0</v>
      </c>
      <c r="E11" s="4">
        <f>AnalysisSVic!F46+AnalysisSal!F47+AnalysisBV!F47</f>
        <v>0</v>
      </c>
      <c r="F11" s="4">
        <f>AnalysisSVic!G46+AnalysisSal!G47+AnalysisBV!G47</f>
        <v>0</v>
      </c>
      <c r="G11" s="4">
        <f>AnalysisSVic!H46+AnalysisSal!H47+AnalysisBV!H47</f>
        <v>0</v>
      </c>
      <c r="H11" s="4">
        <f>AnalysisSVic!I46+AnalysisSal!I47+AnalysisBV!I47</f>
        <v>0</v>
      </c>
      <c r="I11" s="4">
        <f>AnalysisSVic!J46+AnalysisSal!J47+AnalysisBV!J47</f>
        <v>0</v>
      </c>
      <c r="J11" s="7">
        <f>AnalysisSVic!K46+AnalysisSal!K47+AnalysisBV!K47</f>
        <v>888369414.5429889</v>
      </c>
      <c r="K11" s="7">
        <f>AnalysisSVic!L46+AnalysisSal!L47+AnalysisBV!L47</f>
        <v>975091190.7245661</v>
      </c>
      <c r="L11" s="7">
        <f>AnalysisSVic!M46+AnalysisSal!M47+AnalysisBV!M47</f>
        <v>1066149055.7152247</v>
      </c>
      <c r="M11" s="7">
        <f>AnalysisSVic!N46+AnalysisSal!N47+AnalysisBV!N47</f>
        <v>1161759813.9554124</v>
      </c>
      <c r="N11" s="7">
        <f>AnalysisSVic!O46+AnalysisSal!O47+AnalysisBV!O47</f>
        <v>1262151110.1076136</v>
      </c>
      <c r="O11" s="7">
        <f>AnalysisSVic!P46+AnalysisSal!P47+AnalysisBV!P47</f>
        <v>1367561971.0674193</v>
      </c>
      <c r="P11" s="7">
        <f>AnalysisSVic!Q46+AnalysisSal!Q47+AnalysisBV!Q47</f>
        <v>1478243375.075222</v>
      </c>
      <c r="Q11" s="7">
        <f>AnalysisSVic!R46+AnalysisSal!R47+AnalysisBV!R47</f>
        <v>1594458849.2834063</v>
      </c>
      <c r="R11" s="7">
        <f>AnalysisSVic!S46+AnalysisSal!S47+AnalysisBV!S47</f>
        <v>1716485097.202009</v>
      </c>
      <c r="S11" s="7">
        <f>AnalysisSVic!T46+AnalysisSal!T47+AnalysisBV!T47</f>
        <v>1844612657.5165324</v>
      </c>
      <c r="T11" s="7">
        <f>AnalysisSVic!U46+AnalysisSal!U47+AnalysisBV!U47</f>
        <v>1979146595.846786</v>
      </c>
      <c r="U11" s="7">
        <f>AnalysisSVic!V46+AnalysisSal!V47+AnalysisBV!V47</f>
        <v>2120407231.0935595</v>
      </c>
      <c r="V11" s="7">
        <f>AnalysisSVic!W46+AnalysisSal!W47+AnalysisBV!W47</f>
        <v>2268730898.1026664</v>
      </c>
      <c r="W11" s="7">
        <f>AnalysisSVic!X46+AnalysisSal!X47+AnalysisBV!X47</f>
        <v>2424470748.462228</v>
      </c>
      <c r="X11" s="7">
        <f>AnalysisSVic!Y46+AnalysisSal!Y47+AnalysisBV!Y47</f>
        <v>1682748703.6863768</v>
      </c>
      <c r="Y11" s="7">
        <f>AnalysisSVic!Z46+AnalysisSal!Z47+AnalysisBV!Z47</f>
        <v>1133313851.1817558</v>
      </c>
    </row>
    <row r="12" spans="2:25" ht="15">
      <c r="B12" t="s">
        <v>53</v>
      </c>
      <c r="D12" s="4">
        <f>AnalysisSVic!E47+AnalysisSal!E48+AnalysisBV!E48</f>
        <v>0</v>
      </c>
      <c r="E12" s="4">
        <f>AnalysisSVic!F47+AnalysisSal!F48+AnalysisBV!F48</f>
        <v>0</v>
      </c>
      <c r="F12" s="4">
        <f>AnalysisSVic!G47+AnalysisSal!G48+AnalysisBV!G48</f>
        <v>0</v>
      </c>
      <c r="G12" s="4">
        <f>AnalysisSVic!H47+AnalysisSal!H48+AnalysisBV!H48</f>
        <v>0</v>
      </c>
      <c r="H12" s="4">
        <f>AnalysisSVic!I47+AnalysisSal!I48+AnalysisBV!I48</f>
        <v>0</v>
      </c>
      <c r="I12" s="4">
        <f>AnalysisSVic!J47+AnalysisSal!J48+AnalysisBV!J48</f>
        <v>0</v>
      </c>
      <c r="J12" s="7">
        <f>AnalysisSVic!K47+AnalysisSal!K48+AnalysisBV!K48</f>
        <v>11537265.12393492</v>
      </c>
      <c r="K12" s="7">
        <f>AnalysisSVic!L47+AnalysisSal!L48+AnalysisBV!L48</f>
        <v>12663521.957461897</v>
      </c>
      <c r="L12" s="7">
        <f>AnalysisSVic!M47+AnalysisSal!M48+AnalysisBV!M48</f>
        <v>13846091.632665258</v>
      </c>
      <c r="M12" s="7">
        <f>AnalysisSVic!N47+AnalysisSal!N48+AnalysisBV!N48</f>
        <v>15087789.791628731</v>
      </c>
      <c r="N12" s="7">
        <f>AnalysisSVic!O47+AnalysisSal!O48+AnalysisBV!O48</f>
        <v>16391572.858540434</v>
      </c>
      <c r="O12" s="7">
        <f>AnalysisSVic!P47+AnalysisSal!P48+AnalysisBV!P48</f>
        <v>17760545.078797653</v>
      </c>
      <c r="P12" s="7">
        <f>AnalysisSVic!Q47+AnalysisSal!Q48+AnalysisBV!Q48</f>
        <v>19197965.91006782</v>
      </c>
      <c r="Q12" s="7">
        <f>AnalysisSVic!R47+AnalysisSal!R48+AnalysisBV!R48</f>
        <v>20707257.78290138</v>
      </c>
      <c r="R12" s="7">
        <f>AnalysisSVic!S47+AnalysisSal!S48+AnalysisBV!S48</f>
        <v>22292014.24937674</v>
      </c>
      <c r="S12" s="7">
        <f>AnalysisSVic!T47+AnalysisSal!T48+AnalysisBV!T48</f>
        <v>23956008.539175745</v>
      </c>
      <c r="T12" s="7">
        <f>AnalysisSVic!U47+AnalysisSal!U48+AnalysisBV!U48</f>
        <v>25703202.543464758</v>
      </c>
      <c r="U12" s="7">
        <f>AnalysisSVic!V47+AnalysisSal!V48+AnalysisBV!V48</f>
        <v>27537756.24796831</v>
      </c>
      <c r="V12" s="7">
        <f>AnalysisSVic!W47+AnalysisSal!W48+AnalysisBV!W48</f>
        <v>29464037.637696967</v>
      </c>
      <c r="W12" s="7">
        <f>AnalysisSVic!X47+AnalysisSal!X48+AnalysisBV!X48</f>
        <v>31486633.09691205</v>
      </c>
      <c r="X12" s="7">
        <f>AnalysisSVic!Y47+AnalysisSal!Y48+AnalysisBV!Y48</f>
        <v>21853879.268654242</v>
      </c>
      <c r="Y12" s="7">
        <f>AnalysisSVic!Z47+AnalysisSal!Z48+AnalysisBV!Z48</f>
        <v>14718361.703659166</v>
      </c>
    </row>
    <row r="13" spans="2:25" ht="15">
      <c r="B13" t="s">
        <v>45</v>
      </c>
      <c r="D13" s="4">
        <f>AnalysisSVic!E48+AnalysisSal!E49+AnalysisBV!E49</f>
        <v>0</v>
      </c>
      <c r="E13" s="4">
        <f>AnalysisSVic!F48+AnalysisSal!F49+AnalysisBV!F49</f>
        <v>0</v>
      </c>
      <c r="F13" s="4">
        <f>AnalysisSVic!G48+AnalysisSal!G49+AnalysisBV!G49</f>
        <v>0</v>
      </c>
      <c r="G13" s="4">
        <f>AnalysisSVic!H48+AnalysisSal!H49+AnalysisBV!H49</f>
        <v>0</v>
      </c>
      <c r="H13" s="4">
        <f>AnalysisSVic!I48+AnalysisSal!I49+AnalysisBV!I49</f>
        <v>0</v>
      </c>
      <c r="I13" s="4">
        <f>AnalysisSVic!J48+AnalysisSal!J49+AnalysisBV!J49</f>
        <v>0</v>
      </c>
      <c r="J13" s="7">
        <f>AnalysisSVic!K48+AnalysisSal!K49+AnalysisBV!K49</f>
        <v>2208939285.8860016</v>
      </c>
      <c r="K13" s="7">
        <f>AnalysisSVic!L48+AnalysisSal!L49+AnalysisBV!L49</f>
        <v>215634549.33649048</v>
      </c>
      <c r="L13" s="7">
        <f>AnalysisSVic!M48+AnalysisSal!M49+AnalysisBV!M49</f>
        <v>226416276.8033155</v>
      </c>
      <c r="M13" s="7">
        <f>AnalysisSVic!N48+AnalysisSal!N49+AnalysisBV!N49</f>
        <v>237737090.64348218</v>
      </c>
      <c r="N13" s="7">
        <f>AnalysisSVic!O48+AnalysisSal!O49+AnalysisBV!O49</f>
        <v>249623945.1756546</v>
      </c>
      <c r="O13" s="7">
        <f>AnalysisSVic!P48+AnalysisSal!P49+AnalysisBV!P49</f>
        <v>262105142.43444303</v>
      </c>
      <c r="P13" s="7">
        <f>AnalysisSVic!Q48+AnalysisSal!Q49+AnalysisBV!Q49</f>
        <v>275210399.55616117</v>
      </c>
      <c r="Q13" s="7">
        <f>AnalysisSVic!R48+AnalysisSal!R49+AnalysisBV!R49</f>
        <v>288970919.53396356</v>
      </c>
      <c r="R13" s="7">
        <f>AnalysisSVic!S48+AnalysisSal!S49+AnalysisBV!S49</f>
        <v>303419465.510664</v>
      </c>
      <c r="S13" s="7">
        <f>AnalysisSVic!T48+AnalysisSal!T49+AnalysisBV!T49</f>
        <v>318590438.7861996</v>
      </c>
      <c r="T13" s="7">
        <f>AnalysisSVic!U48+AnalysisSal!U49+AnalysisBV!U49</f>
        <v>334519960.72550356</v>
      </c>
      <c r="U13" s="7">
        <f>AnalysisSVic!V48+AnalysisSal!V49+AnalysisBV!V49</f>
        <v>351245958.7617914</v>
      </c>
      <c r="V13" s="7">
        <f>AnalysisSVic!W48+AnalysisSal!W49+AnalysisBV!W49</f>
        <v>368808256.69987494</v>
      </c>
      <c r="W13" s="7">
        <f>AnalysisSVic!X48+AnalysisSal!X49+AnalysisBV!X49</f>
        <v>387248669.5348668</v>
      </c>
      <c r="X13" s="7">
        <f>AnalysisSVic!Y48+AnalysisSal!Y49+AnalysisBV!Y49</f>
        <v>-1903802083.4787307</v>
      </c>
      <c r="Y13" s="7">
        <f>AnalysisSVic!Z48+AnalysisSal!Z49+AnalysisBV!Z49</f>
        <v>-1413576296.5175352</v>
      </c>
    </row>
    <row r="14" spans="2:25" ht="15">
      <c r="B14" s="8" t="s">
        <v>46</v>
      </c>
      <c r="D14" s="114">
        <f>AnalysisSVic!E49+AnalysisSal!E50+AnalysisBV!E50</f>
        <v>0</v>
      </c>
      <c r="E14" s="114">
        <f>AnalysisSVic!F49+AnalysisSal!F50+AnalysisBV!F50</f>
        <v>0</v>
      </c>
      <c r="F14" s="114">
        <f>AnalysisSVic!G49+AnalysisSal!G50+AnalysisBV!G50</f>
        <v>0</v>
      </c>
      <c r="G14" s="114">
        <f>AnalysisSVic!H49+AnalysisSal!H50+AnalysisBV!H50</f>
        <v>0</v>
      </c>
      <c r="H14" s="114">
        <f>AnalysisSVic!I49+AnalysisSal!I50+AnalysisBV!I50</f>
        <v>0</v>
      </c>
      <c r="I14" s="114">
        <f>AnalysisSVic!J49+AnalysisSal!J50+AnalysisBV!J50</f>
        <v>0</v>
      </c>
      <c r="J14" s="15">
        <f>AnalysisSVic!K49+AnalysisSal!K50+AnalysisBV!K50</f>
        <v>28687523.193324696</v>
      </c>
      <c r="K14" s="15">
        <f>AnalysisSVic!L49+AnalysisSal!L50+AnalysisBV!L50</f>
        <v>2800448.6926816944</v>
      </c>
      <c r="L14" s="15">
        <f>AnalysisSVic!M49+AnalysisSal!M50+AnalysisBV!M50</f>
        <v>2940471.1273157857</v>
      </c>
      <c r="M14" s="15">
        <f>AnalysisSVic!N49+AnalysisSal!N50+AnalysisBV!N50</f>
        <v>3087494.6836815868</v>
      </c>
      <c r="N14" s="15">
        <f>AnalysisSVic!O49+AnalysisSal!O50+AnalysisBV!O50</f>
        <v>3241869.417865644</v>
      </c>
      <c r="O14" s="15">
        <f>AnalysisSVic!P49+AnalysisSal!P50+AnalysisBV!P50</f>
        <v>3403962.888759</v>
      </c>
      <c r="P14" s="15">
        <f>AnalysisSVic!Q49+AnalysisSal!Q50+AnalysisBV!Q50</f>
        <v>3574161.033196898</v>
      </c>
      <c r="Q14" s="15">
        <f>AnalysisSVic!R49+AnalysisSal!R50+AnalysisBV!R50</f>
        <v>3752869.0848566694</v>
      </c>
      <c r="R14" s="15">
        <f>AnalysisSVic!S49+AnalysisSal!S50+AnalysisBV!S50</f>
        <v>3940512.539099532</v>
      </c>
      <c r="S14" s="15">
        <f>AnalysisSVic!T49+AnalysisSal!T50+AnalysisBV!T50</f>
        <v>4137538.1660545403</v>
      </c>
      <c r="T14" s="15">
        <f>AnalysisSVic!U49+AnalysisSal!U50+AnalysisBV!U50</f>
        <v>4344415.074357189</v>
      </c>
      <c r="U14" s="15">
        <f>AnalysisSVic!V49+AnalysisSal!V50+AnalysisBV!V50</f>
        <v>4561635.828075213</v>
      </c>
      <c r="V14" s="15">
        <f>AnalysisSVic!W49+AnalysisSal!W50+AnalysisBV!W50</f>
        <v>4789717.619478895</v>
      </c>
      <c r="W14" s="15">
        <f>AnalysisSVic!X49+AnalysisSal!X50+AnalysisBV!X50</f>
        <v>5029203.500452816</v>
      </c>
      <c r="X14" s="15">
        <f>AnalysisSVic!Y49+AnalysisSal!Y50+AnalysisBV!Y50</f>
        <v>-24724702.38284066</v>
      </c>
      <c r="Y14" s="15">
        <f>AnalysisSVic!Z49+AnalysisSal!Z50+AnalysisBV!Z50</f>
        <v>-18358133.72100695</v>
      </c>
    </row>
    <row r="15" spans="2:25" ht="15">
      <c r="B15" t="s">
        <v>408</v>
      </c>
      <c r="D15" s="7">
        <f>(D11+D13)*$J$7</f>
        <v>0</v>
      </c>
      <c r="E15" s="7">
        <f aca="true" t="shared" si="0" ref="E15:Y15">(E11+E13)*$J$7</f>
        <v>0</v>
      </c>
      <c r="F15" s="7">
        <f t="shared" si="0"/>
        <v>0</v>
      </c>
      <c r="G15" s="7">
        <f t="shared" si="0"/>
        <v>0</v>
      </c>
      <c r="H15" s="7">
        <f t="shared" si="0"/>
        <v>0</v>
      </c>
      <c r="I15" s="7">
        <f t="shared" si="0"/>
        <v>0</v>
      </c>
      <c r="J15" s="7">
        <f t="shared" si="0"/>
        <v>3097308700.4289904</v>
      </c>
      <c r="K15" s="7">
        <f t="shared" si="0"/>
        <v>1190725740.0610566</v>
      </c>
      <c r="L15" s="7">
        <f t="shared" si="0"/>
        <v>1292565332.5185401</v>
      </c>
      <c r="M15" s="7">
        <f t="shared" si="0"/>
        <v>1399496904.5988946</v>
      </c>
      <c r="N15" s="7">
        <f t="shared" si="0"/>
        <v>1511775055.2832682</v>
      </c>
      <c r="O15" s="7">
        <f t="shared" si="0"/>
        <v>1629667113.5018623</v>
      </c>
      <c r="P15" s="7">
        <f t="shared" si="0"/>
        <v>1753453774.6313832</v>
      </c>
      <c r="Q15" s="7">
        <f t="shared" si="0"/>
        <v>1883429768.81737</v>
      </c>
      <c r="R15" s="7">
        <f t="shared" si="0"/>
        <v>2019904562.712673</v>
      </c>
      <c r="S15" s="7">
        <f t="shared" si="0"/>
        <v>2163203096.302732</v>
      </c>
      <c r="T15" s="7">
        <f t="shared" si="0"/>
        <v>2313666556.5722895</v>
      </c>
      <c r="U15" s="7">
        <f t="shared" si="0"/>
        <v>2471653189.855351</v>
      </c>
      <c r="V15" s="7">
        <f t="shared" si="0"/>
        <v>2637539154.8025413</v>
      </c>
      <c r="W15" s="7">
        <f t="shared" si="0"/>
        <v>2811719417.9970946</v>
      </c>
      <c r="X15" s="7">
        <f t="shared" si="0"/>
        <v>-221053379.79235387</v>
      </c>
      <c r="Y15" s="7">
        <f t="shared" si="0"/>
        <v>-280262445.3357794</v>
      </c>
    </row>
    <row r="16" spans="2:25" ht="15">
      <c r="B16" t="s">
        <v>409</v>
      </c>
      <c r="D16" s="7">
        <f>(D12+D14)*$J$7</f>
        <v>0</v>
      </c>
      <c r="E16" s="7">
        <f aca="true" t="shared" si="1" ref="E16:Y16">(E12+E14)*$J$7</f>
        <v>0</v>
      </c>
      <c r="F16" s="7">
        <f t="shared" si="1"/>
        <v>0</v>
      </c>
      <c r="G16" s="7">
        <f t="shared" si="1"/>
        <v>0</v>
      </c>
      <c r="H16" s="7">
        <f t="shared" si="1"/>
        <v>0</v>
      </c>
      <c r="I16" s="7">
        <f t="shared" si="1"/>
        <v>0</v>
      </c>
      <c r="J16" s="7">
        <f t="shared" si="1"/>
        <v>40224788.31725962</v>
      </c>
      <c r="K16" s="7">
        <f t="shared" si="1"/>
        <v>15463970.650143592</v>
      </c>
      <c r="L16" s="7">
        <f t="shared" si="1"/>
        <v>16786562.759981044</v>
      </c>
      <c r="M16" s="7">
        <f t="shared" si="1"/>
        <v>18175284.47531032</v>
      </c>
      <c r="N16" s="7">
        <f t="shared" si="1"/>
        <v>19633442.27640608</v>
      </c>
      <c r="O16" s="7">
        <f t="shared" si="1"/>
        <v>21164507.967556655</v>
      </c>
      <c r="P16" s="7">
        <f t="shared" si="1"/>
        <v>22772126.943264715</v>
      </c>
      <c r="Q16" s="7">
        <f t="shared" si="1"/>
        <v>24460126.86775805</v>
      </c>
      <c r="R16" s="7">
        <f t="shared" si="1"/>
        <v>26232526.788476273</v>
      </c>
      <c r="S16" s="7">
        <f t="shared" si="1"/>
        <v>28093546.705230284</v>
      </c>
      <c r="T16" s="7">
        <f t="shared" si="1"/>
        <v>30047617.617821947</v>
      </c>
      <c r="U16" s="7">
        <f t="shared" si="1"/>
        <v>32099392.076043524</v>
      </c>
      <c r="V16" s="7">
        <f t="shared" si="1"/>
        <v>34253755.25717586</v>
      </c>
      <c r="W16" s="7">
        <f t="shared" si="1"/>
        <v>36515836.597364865</v>
      </c>
      <c r="X16" s="7">
        <f t="shared" si="1"/>
        <v>-2870823.1141864173</v>
      </c>
      <c r="Y16" s="7">
        <f t="shared" si="1"/>
        <v>-3639772.017347783</v>
      </c>
    </row>
    <row r="17" spans="3:4" ht="15">
      <c r="C17" s="288" t="s">
        <v>388</v>
      </c>
      <c r="D17" s="292">
        <f>NPV(0.1,D16:Y16)</f>
        <v>102950182.74580167</v>
      </c>
    </row>
    <row r="18" ht="15">
      <c r="B18" s="12" t="s">
        <v>226</v>
      </c>
    </row>
    <row r="19" spans="2:25" ht="15">
      <c r="B19" t="s">
        <v>42</v>
      </c>
      <c r="D19" s="7">
        <f>AnalysisSVic!E54+AnalysisSal!E55+AnalysisBV!E55</f>
        <v>0</v>
      </c>
      <c r="E19" s="7">
        <f>AnalysisSVic!F54+AnalysisSal!F55+AnalysisBV!F55</f>
        <v>3326803016.254675</v>
      </c>
      <c r="F19" s="7">
        <f>AnalysisSVic!G54+AnalysisSal!G55+AnalysisBV!G55</f>
        <v>3618236300.69743</v>
      </c>
      <c r="G19" s="7">
        <f>AnalysisSVic!H54+AnalysisSal!H55+AnalysisBV!H55</f>
        <v>3935290798.943324</v>
      </c>
      <c r="H19" s="7">
        <f>AnalysisSVic!I54+AnalysisSal!I55+AnalysisBV!I55</f>
        <v>4280225287.3220015</v>
      </c>
      <c r="I19" s="7">
        <f>AnalysisSVic!J54+AnalysisSal!J55+AnalysisBV!J55</f>
        <v>3618454532.847195</v>
      </c>
      <c r="J19" s="7">
        <f>AnalysisSVic!K54+AnalysisSal!K55+AnalysisBV!K55</f>
        <v>2846376051.2416744</v>
      </c>
      <c r="K19" s="7">
        <f>AnalysisSVic!L54+AnalysisSal!L55+AnalysisBV!L55</f>
        <v>2988694853.803761</v>
      </c>
      <c r="L19" s="7">
        <f>AnalysisSVic!M54+AnalysisSal!M55+AnalysisBV!M55</f>
        <v>3138129596.493949</v>
      </c>
      <c r="M19" s="7">
        <f>AnalysisSVic!N54+AnalysisSal!N55+AnalysisBV!N55</f>
        <v>3295036076.3186426</v>
      </c>
      <c r="N19" s="7">
        <f>AnalysisSVic!O54+AnalysisSal!O55+AnalysisBV!O55</f>
        <v>3459787880.1345787</v>
      </c>
      <c r="O19" s="7">
        <f>AnalysisSVic!P54+AnalysisSal!P55+AnalysisBV!P55</f>
        <v>3632777274.1413116</v>
      </c>
      <c r="P19" s="7">
        <f>AnalysisSVic!Q54+AnalysisSal!Q55+AnalysisBV!Q55</f>
        <v>3814416137.848374</v>
      </c>
      <c r="Q19" s="7">
        <f>AnalysisSVic!R54+AnalysisSal!R55+AnalysisBV!R55</f>
        <v>4005136944.74079</v>
      </c>
      <c r="R19" s="7">
        <f>AnalysisSVic!S54+AnalysisSal!S55+AnalysisBV!S55</f>
        <v>4205393791.977833</v>
      </c>
      <c r="S19" s="7">
        <f>AnalysisSVic!T54+AnalysisSal!T55+AnalysisBV!T55</f>
        <v>4415663481.576724</v>
      </c>
      <c r="T19" s="7">
        <f>AnalysisSVic!U54+AnalysisSal!U55+AnalysisBV!U55</f>
        <v>4636446655.655557</v>
      </c>
      <c r="U19" s="7">
        <f>AnalysisSVic!V54+AnalysisSal!V55+AnalysisBV!V55</f>
        <v>4868268988.438339</v>
      </c>
      <c r="V19" s="7">
        <f>AnalysisSVic!W54+AnalysisSal!W55+AnalysisBV!W55</f>
        <v>5111682437.860256</v>
      </c>
      <c r="W19" s="7">
        <f>AnalysisSVic!X54+AnalysisSal!X55+AnalysisBV!X55</f>
        <v>4748594369.8731785</v>
      </c>
      <c r="X19" s="7">
        <f>AnalysisSVic!Y54+AnalysisSal!Y55+AnalysisBV!Y55</f>
        <v>3270849088.3668394</v>
      </c>
      <c r="Y19" s="7">
        <f>AnalysisSVic!Z54+AnalysisSal!Z55+AnalysisBV!Z55</f>
        <v>2337888732.6652675</v>
      </c>
    </row>
    <row r="20" spans="2:25" ht="15">
      <c r="B20" t="s">
        <v>43</v>
      </c>
      <c r="D20" s="15">
        <f>AnalysisSVic!E55+AnalysisSal!E56+AnalysisBV!E56</f>
        <v>0</v>
      </c>
      <c r="E20" s="15">
        <f>AnalysisSVic!F55+AnalysisSal!F56+AnalysisBV!F56</f>
        <v>3326803016.254675</v>
      </c>
      <c r="F20" s="15">
        <f>AnalysisSVic!G55+AnalysisSal!G56+AnalysisBV!G56</f>
        <v>3618236300.69743</v>
      </c>
      <c r="G20" s="15">
        <f>AnalysisSVic!H55+AnalysisSal!H56+AnalysisBV!H56</f>
        <v>3935290798.943324</v>
      </c>
      <c r="H20" s="15">
        <f>AnalysisSVic!I55+AnalysisSal!I56+AnalysisBV!I56</f>
        <v>5738125216.0067625</v>
      </c>
      <c r="I20" s="15">
        <f>AnalysisSVic!J55+AnalysisSal!J56+AnalysisBV!J56</f>
        <v>5218673264.09404</v>
      </c>
      <c r="J20" s="15">
        <f>AnalysisSVic!K55+AnalysisSal!K56+AnalysisBV!K56</f>
        <v>3138129596.493947</v>
      </c>
      <c r="K20" s="15">
        <f>AnalysisSVic!L55+AnalysisSal!L56+AnalysisBV!L56</f>
        <v>3295036076.3186474</v>
      </c>
      <c r="L20" s="15">
        <f>AnalysisSVic!M55+AnalysisSal!M56+AnalysisBV!M56</f>
        <v>3459787880.1345787</v>
      </c>
      <c r="M20" s="15">
        <f>AnalysisSVic!N55+AnalysisSal!N56+AnalysisBV!N56</f>
        <v>3632777274.141307</v>
      </c>
      <c r="N20" s="15">
        <f>AnalysisSVic!O55+AnalysisSal!O56+AnalysisBV!O56</f>
        <v>3814416137.8483777</v>
      </c>
      <c r="O20" s="15">
        <f>AnalysisSVic!P55+AnalysisSal!P56+AnalysisBV!P56</f>
        <v>4005136944.740794</v>
      </c>
      <c r="P20" s="15">
        <f>AnalysisSVic!Q55+AnalysisSal!Q56+AnalysisBV!Q56</f>
        <v>4205393791.977828</v>
      </c>
      <c r="Q20" s="15">
        <f>AnalysisSVic!R55+AnalysisSal!R56+AnalysisBV!R56</f>
        <v>4415663481.57672</v>
      </c>
      <c r="R20" s="15">
        <f>AnalysisSVic!S55+AnalysisSal!S56+AnalysisBV!S56</f>
        <v>4636446655.655557</v>
      </c>
      <c r="S20" s="15">
        <f>AnalysisSVic!T55+AnalysisSal!T56+AnalysisBV!T56</f>
        <v>4868268988.438339</v>
      </c>
      <c r="T20" s="15">
        <f>AnalysisSVic!U55+AnalysisSal!U56+AnalysisBV!U56</f>
        <v>5111682437.860256</v>
      </c>
      <c r="U20" s="15">
        <f>AnalysisSVic!V55+AnalysisSal!V56+AnalysisBV!V56</f>
        <v>5367266559.753269</v>
      </c>
      <c r="V20" s="15">
        <f>AnalysisSVic!W55+AnalysisSal!W56+AnalysisBV!W56</f>
        <v>4110757184.6573057</v>
      </c>
      <c r="W20" s="15">
        <f>AnalysisSVic!X55+AnalysisSal!X56+AnalysisBV!X56</f>
        <v>2559124639.075643</v>
      </c>
      <c r="X20" s="15">
        <f>AnalysisSVic!Y55+AnalysisSal!Y56+AnalysisBV!Y56</f>
        <v>2454783169.298526</v>
      </c>
      <c r="Y20" s="15">
        <f>AnalysisSVic!Z55+AnalysisSal!Z56+AnalysisBV!Z56</f>
        <v>2577522327.7634525</v>
      </c>
    </row>
    <row r="21" spans="2:25" ht="15">
      <c r="B21" t="s">
        <v>224</v>
      </c>
      <c r="D21" s="7">
        <f>D20-D19</f>
        <v>0</v>
      </c>
      <c r="E21" s="7">
        <f aca="true" t="shared" si="2" ref="E21:Y21">E20-E19</f>
        <v>0</v>
      </c>
      <c r="F21" s="7">
        <f t="shared" si="2"/>
        <v>0</v>
      </c>
      <c r="G21" s="7">
        <f>G20-G19</f>
        <v>0</v>
      </c>
      <c r="H21" s="7">
        <f t="shared" si="2"/>
        <v>1457899928.684761</v>
      </c>
      <c r="I21" s="7">
        <f t="shared" si="2"/>
        <v>1600218731.2468448</v>
      </c>
      <c r="J21" s="7">
        <f t="shared" si="2"/>
        <v>291753545.2522726</v>
      </c>
      <c r="K21" s="7">
        <f t="shared" si="2"/>
        <v>306341222.5148864</v>
      </c>
      <c r="L21" s="7">
        <f>L20-L19</f>
        <v>321658283.64062977</v>
      </c>
      <c r="M21" s="7">
        <f t="shared" si="2"/>
        <v>337741197.82266426</v>
      </c>
      <c r="N21" s="7">
        <f t="shared" si="2"/>
        <v>354628257.713799</v>
      </c>
      <c r="O21" s="7">
        <f t="shared" si="2"/>
        <v>372359670.59948254</v>
      </c>
      <c r="P21" s="7">
        <f t="shared" si="2"/>
        <v>390977654.12945414</v>
      </c>
      <c r="Q21" s="7">
        <f t="shared" si="2"/>
        <v>410526536.83593035</v>
      </c>
      <c r="R21" s="7">
        <f t="shared" si="2"/>
        <v>431052863.6777239</v>
      </c>
      <c r="S21" s="7">
        <f t="shared" si="2"/>
        <v>452605506.8616152</v>
      </c>
      <c r="T21" s="7">
        <f t="shared" si="2"/>
        <v>475235782.2046995</v>
      </c>
      <c r="U21" s="7">
        <f t="shared" si="2"/>
        <v>498997571.31492996</v>
      </c>
      <c r="V21" s="7">
        <f t="shared" si="2"/>
        <v>-1000925253.2029505</v>
      </c>
      <c r="W21" s="7">
        <f t="shared" si="2"/>
        <v>-2189469730.7975354</v>
      </c>
      <c r="X21" s="7">
        <f t="shared" si="2"/>
        <v>-816065919.0683136</v>
      </c>
      <c r="Y21" s="7">
        <f t="shared" si="2"/>
        <v>239633595.09818506</v>
      </c>
    </row>
    <row r="22" spans="2:25" ht="15">
      <c r="B22" s="12" t="s">
        <v>227</v>
      </c>
      <c r="D22" s="7"/>
      <c r="E22" s="7"/>
      <c r="F22" s="7"/>
      <c r="G22" s="7"/>
      <c r="H22" s="7"/>
      <c r="I22" s="7"/>
      <c r="J22" s="7"/>
      <c r="K22" s="7"/>
      <c r="L22" s="7"/>
      <c r="M22" s="7"/>
      <c r="N22" s="7"/>
      <c r="O22" s="7"/>
      <c r="P22" s="7"/>
      <c r="Q22" s="7"/>
      <c r="R22" s="7"/>
      <c r="S22" s="7"/>
      <c r="T22" s="7"/>
      <c r="U22" s="7"/>
      <c r="V22" s="7"/>
      <c r="W22" s="7"/>
      <c r="X22" s="7"/>
      <c r="Y22" s="7"/>
    </row>
    <row r="23" spans="2:25" ht="15">
      <c r="B23" t="s">
        <v>220</v>
      </c>
      <c r="F23" s="4">
        <f>((AnalysisSVic!G38-AnalysisSVic!G20)+(AnalysisSal!G39-AnalysisSal!G21)+(AnalysisBV!G39-AnalysisBV!G21))</f>
        <v>0</v>
      </c>
      <c r="G23" s="4">
        <f>((AnalysisSVic!H38-AnalysisSVic!H20)+(AnalysisSal!H39-AnalysisSal!H21)+(AnalysisBV!H39-AnalysisBV!H21))-F23</f>
        <v>0</v>
      </c>
      <c r="H23" s="4">
        <f>((AnalysisSVic!I38-AnalysisSVic!I20)+(AnalysisSal!I39-AnalysisSal!I21)+(AnalysisBV!I39-AnalysisBV!I21))-G23</f>
        <v>0</v>
      </c>
      <c r="I23" s="4">
        <f>((AnalysisSVic!J38-AnalysisSVic!J20)+(AnalysisSal!J39-AnalysisSal!J21)+(AnalysisBV!J39-AnalysisBV!J21))-H23</f>
        <v>0</v>
      </c>
      <c r="J23" s="4">
        <f>((AnalysisSVic!K38-AnalysisSVic!K20)+(AnalysisSal!K39-AnalysisSal!K21)+(AnalysisBV!K39-AnalysisBV!K21))-I23</f>
        <v>191071.03898518684</v>
      </c>
      <c r="K23" s="4">
        <f>((AnalysisSVic!L38-AnalysisSVic!L20)+(AnalysisSal!L39-AnalysisSal!L21)+(AnalysisBV!L39-AnalysisBV!L21))-J23</f>
        <v>18652.17285331618</v>
      </c>
      <c r="L23" s="4">
        <f>((AnalysisSVic!M38-AnalysisSVic!M20)+(AnalysisSal!M39-AnalysisSal!M21)+(AnalysisBV!M39-AnalysisBV!M21))-K23</f>
        <v>210655.82048116872</v>
      </c>
      <c r="M23" s="4">
        <f>((AnalysisSVic!N38-AnalysisSVic!N20)+(AnalysisSal!N39-AnalysisSal!N21)+(AnalysisBV!N39-AnalysisBV!N21))-L23</f>
        <v>39216.193424096826</v>
      </c>
      <c r="N23" s="4">
        <f>((AnalysisSVic!O38-AnalysisSVic!O20)+(AnalysisSal!O39-AnalysisSal!O21)+(AnalysisBV!O39-AnalysisBV!O21))-M23</f>
        <v>232248.04208048884</v>
      </c>
      <c r="O23" s="4">
        <f>((AnalysisSVic!P38-AnalysisSVic!P20)+(AnalysisSal!P39-AnalysisSal!P21)+(AnalysisBV!P39-AnalysisBV!P21))-N23</f>
        <v>61888.02610338238</v>
      </c>
      <c r="P23" s="4">
        <f>((AnalysisSVic!Q38-AnalysisSVic!Q20)+(AnalysisSal!Q39-AnalysisSal!Q21)+(AnalysisBV!Q39-AnalysisBV!Q21))-O23</f>
        <v>256053.46639373942</v>
      </c>
      <c r="Q23" s="4">
        <f>((AnalysisSVic!R38-AnalysisSVic!R20)+(AnalysisSal!R39-AnalysisSal!R21)+(AnalysisBV!R39-AnalysisBV!R21))-P23</f>
        <v>86883.72163229415</v>
      </c>
      <c r="R23" s="4">
        <f>((AnalysisSVic!S38-AnalysisSVic!S20)+(AnalysisSal!S39-AnalysisSal!S21)+(AnalysisBV!S39-AnalysisBV!S21))-Q23</f>
        <v>282298.94669909833</v>
      </c>
      <c r="S23" s="4">
        <f>((AnalysisSVic!T38-AnalysisSVic!T20)+(AnalysisSal!T39-AnalysisSal!T21)+(AnalysisBV!T39-AnalysisBV!T21))-R23</f>
        <v>114441.47595291975</v>
      </c>
      <c r="T23" s="4">
        <f>((AnalysisSVic!U38-AnalysisSVic!U20)+(AnalysisSal!U39-AnalysisSal!U21)+(AnalysisBV!U39-AnalysisBV!U21))-S23</f>
        <v>311234.58873575507</v>
      </c>
      <c r="U23" s="4">
        <f>((AnalysisSVic!V38-AnalysisSVic!V20)+(AnalysisSal!V39-AnalysisSal!V21)+(AnalysisBV!V39-AnalysisBV!V21))-T23</f>
        <v>144823.90009141096</v>
      </c>
      <c r="V23" s="4">
        <f>((AnalysisSVic!W38-AnalysisSVic!W20)+(AnalysisSal!W39-AnalysisSal!W21)+(AnalysisBV!W39-AnalysisBV!W21))-U23</f>
        <v>343136.1340811701</v>
      </c>
      <c r="W23" s="4">
        <f>((AnalysisSVic!X38-AnalysisSVic!X20)+(AnalysisSal!X39-AnalysisSal!X21)+(AnalysisBV!X39-AnalysisBV!X21))-V23</f>
        <v>178320.52270409698</v>
      </c>
      <c r="X23" s="4">
        <f>((AnalysisSVic!Y38-AnalysisSVic!Y20)+(AnalysisSal!Y39-AnalysisSal!Y21)+(AnalysisBV!Y39-AnalysisBV!Y21))-W23</f>
        <v>183606.10140163783</v>
      </c>
      <c r="Y23" s="4">
        <f>((AnalysisSVic!Z38-AnalysisSVic!Z20)+(AnalysisSal!Z39-AnalysisSal!Z21)+(AnalysisBV!Z39-AnalysisBV!Z21))-X23</f>
        <v>60147.737369365175</v>
      </c>
    </row>
    <row r="24" spans="2:25" ht="15">
      <c r="B24" t="s">
        <v>221</v>
      </c>
      <c r="C24" s="270" t="s">
        <v>392</v>
      </c>
      <c r="D24" s="8"/>
      <c r="E24" s="8"/>
      <c r="F24" s="8"/>
      <c r="G24" s="8"/>
      <c r="H24" s="8"/>
      <c r="I24" s="8"/>
      <c r="J24" s="114">
        <f>J23*200/1000/365</f>
        <v>104.69645971791061</v>
      </c>
      <c r="K24" s="114">
        <f aca="true" t="shared" si="3" ref="K24:Y24">K23*200/1000/365</f>
        <v>10.220368686748593</v>
      </c>
      <c r="L24" s="114">
        <f t="shared" si="3"/>
        <v>115.42784683899654</v>
      </c>
      <c r="M24" s="114">
        <f t="shared" si="3"/>
        <v>21.48832516388867</v>
      </c>
      <c r="N24" s="114">
        <f t="shared" si="3"/>
        <v>127.25920113999389</v>
      </c>
      <c r="O24" s="114">
        <f t="shared" si="3"/>
        <v>33.91124717993555</v>
      </c>
      <c r="P24" s="114">
        <f t="shared" si="3"/>
        <v>140.30326925684352</v>
      </c>
      <c r="Q24" s="114">
        <f t="shared" si="3"/>
        <v>47.607518702626926</v>
      </c>
      <c r="R24" s="114">
        <f t="shared" si="3"/>
        <v>154.68435435567034</v>
      </c>
      <c r="S24" s="114">
        <f t="shared" si="3"/>
        <v>62.70765805639438</v>
      </c>
      <c r="T24" s="114">
        <f t="shared" si="3"/>
        <v>170.53950067712609</v>
      </c>
      <c r="U24" s="114">
        <f t="shared" si="3"/>
        <v>79.35556169392382</v>
      </c>
      <c r="V24" s="114">
        <f t="shared" si="3"/>
        <v>188.01979949653156</v>
      </c>
      <c r="W24" s="114">
        <f t="shared" si="3"/>
        <v>97.70987545429969</v>
      </c>
      <c r="X24" s="114">
        <f t="shared" si="3"/>
        <v>100.60608295980155</v>
      </c>
      <c r="Y24" s="114">
        <f t="shared" si="3"/>
        <v>32.95766431198091</v>
      </c>
    </row>
    <row r="25" spans="2:25" ht="15">
      <c r="B25" t="s">
        <v>222</v>
      </c>
      <c r="C25" s="295" t="s">
        <v>393</v>
      </c>
      <c r="J25" s="20">
        <f>J24*4200*2</f>
        <v>879450.2616304492</v>
      </c>
      <c r="K25" s="20">
        <f aca="true" t="shared" si="4" ref="K25:Y25">K24*4200*2</f>
        <v>85851.09696868817</v>
      </c>
      <c r="L25" s="20">
        <f t="shared" si="4"/>
        <v>969593.913447571</v>
      </c>
      <c r="M25" s="20">
        <f t="shared" si="4"/>
        <v>180501.93137666484</v>
      </c>
      <c r="N25" s="20">
        <f t="shared" si="4"/>
        <v>1068977.2895759486</v>
      </c>
      <c r="O25" s="20">
        <f t="shared" si="4"/>
        <v>284854.4763114586</v>
      </c>
      <c r="P25" s="20">
        <f t="shared" si="4"/>
        <v>1178547.4617574855</v>
      </c>
      <c r="Q25" s="20">
        <f t="shared" si="4"/>
        <v>399903.1571020662</v>
      </c>
      <c r="R25" s="20">
        <f t="shared" si="4"/>
        <v>1299348.576587631</v>
      </c>
      <c r="S25" s="20">
        <f t="shared" si="4"/>
        <v>526744.3276737127</v>
      </c>
      <c r="T25" s="20">
        <f t="shared" si="4"/>
        <v>1432531.8056878592</v>
      </c>
      <c r="U25" s="20">
        <f t="shared" si="4"/>
        <v>666586.7182289601</v>
      </c>
      <c r="V25" s="20">
        <f t="shared" si="4"/>
        <v>1579366.3157708652</v>
      </c>
      <c r="W25" s="20">
        <f t="shared" si="4"/>
        <v>820762.9538161174</v>
      </c>
      <c r="X25" s="20">
        <f t="shared" si="4"/>
        <v>845091.096862333</v>
      </c>
      <c r="Y25" s="20">
        <f t="shared" si="4"/>
        <v>276844.3802206397</v>
      </c>
    </row>
    <row r="26" spans="2:25" ht="15">
      <c r="B26" t="s">
        <v>223</v>
      </c>
      <c r="J26" s="20">
        <f aca="true" t="shared" si="5" ref="J26:Y26">J25*exrate</f>
        <v>67717670.14554459</v>
      </c>
      <c r="K26" s="20">
        <f>K25*exrate</f>
        <v>6610534.466588989</v>
      </c>
      <c r="L26" s="20">
        <f t="shared" si="5"/>
        <v>74658731.33546297</v>
      </c>
      <c r="M26" s="20">
        <f t="shared" si="5"/>
        <v>13898648.716003193</v>
      </c>
      <c r="N26" s="20">
        <f t="shared" si="5"/>
        <v>82311251.29734804</v>
      </c>
      <c r="O26" s="20">
        <f t="shared" si="5"/>
        <v>21933794.675982315</v>
      </c>
      <c r="P26" s="20">
        <f t="shared" si="5"/>
        <v>90748154.55532639</v>
      </c>
      <c r="Q26" s="20">
        <f t="shared" si="5"/>
        <v>30792543.096859097</v>
      </c>
      <c r="R26" s="20">
        <f t="shared" si="5"/>
        <v>100049840.39724758</v>
      </c>
      <c r="S26" s="20">
        <f t="shared" si="5"/>
        <v>40559313.23087588</v>
      </c>
      <c r="T26" s="20">
        <f t="shared" si="5"/>
        <v>110304949.03796516</v>
      </c>
      <c r="U26" s="20">
        <f t="shared" si="5"/>
        <v>51327177.30362993</v>
      </c>
      <c r="V26" s="20">
        <f t="shared" si="5"/>
        <v>121611206.31435663</v>
      </c>
      <c r="W26" s="20">
        <f t="shared" si="5"/>
        <v>63198747.44384104</v>
      </c>
      <c r="X26" s="20">
        <f t="shared" si="5"/>
        <v>65072014.45839964</v>
      </c>
      <c r="Y26" s="20">
        <f t="shared" si="5"/>
        <v>21317017.276989255</v>
      </c>
    </row>
    <row r="27" spans="2:25" ht="15">
      <c r="B27" s="12" t="s">
        <v>228</v>
      </c>
      <c r="D27" s="7"/>
      <c r="E27" s="7"/>
      <c r="F27" s="7"/>
      <c r="G27" s="7"/>
      <c r="H27" s="7"/>
      <c r="I27" s="7"/>
      <c r="J27" s="7"/>
      <c r="K27" s="7"/>
      <c r="L27" s="7"/>
      <c r="M27" s="7"/>
      <c r="N27" s="7"/>
      <c r="O27" s="7"/>
      <c r="P27" s="7"/>
      <c r="Q27" s="7"/>
      <c r="R27" s="7"/>
      <c r="S27" s="7"/>
      <c r="T27" s="7"/>
      <c r="U27" s="7"/>
      <c r="V27" s="7"/>
      <c r="W27" s="7"/>
      <c r="X27" s="7"/>
      <c r="Y27" s="7"/>
    </row>
    <row r="28" spans="2:8" ht="15">
      <c r="B28" t="s">
        <v>225</v>
      </c>
      <c r="F28" s="7">
        <f>Parameters!$C49*exrate/3</f>
        <v>481250000</v>
      </c>
      <c r="G28" s="7">
        <f>Parameters!$C49*exrate/3</f>
        <v>481250000</v>
      </c>
      <c r="H28" s="7">
        <f>Parameters!$C49*exrate/3</f>
        <v>481250000</v>
      </c>
    </row>
    <row r="29" spans="2:25" ht="15">
      <c r="B29" t="s">
        <v>37</v>
      </c>
      <c r="D29" s="356">
        <f>SUM(F28:Y28)/exrate</f>
        <v>18750000</v>
      </c>
      <c r="F29" s="15"/>
      <c r="G29" s="8"/>
      <c r="H29" s="8"/>
      <c r="I29" s="15">
        <f>SUM(F28:H28)*0.025</f>
        <v>36093750</v>
      </c>
      <c r="J29" s="15">
        <f>I29</f>
        <v>36093750</v>
      </c>
      <c r="K29" s="15">
        <f aca="true" t="shared" si="6" ref="K29:Y29">J29</f>
        <v>36093750</v>
      </c>
      <c r="L29" s="15">
        <f t="shared" si="6"/>
        <v>36093750</v>
      </c>
      <c r="M29" s="15">
        <f t="shared" si="6"/>
        <v>36093750</v>
      </c>
      <c r="N29" s="15">
        <f t="shared" si="6"/>
        <v>36093750</v>
      </c>
      <c r="O29" s="15">
        <f t="shared" si="6"/>
        <v>36093750</v>
      </c>
      <c r="P29" s="15">
        <f t="shared" si="6"/>
        <v>36093750</v>
      </c>
      <c r="Q29" s="15">
        <f t="shared" si="6"/>
        <v>36093750</v>
      </c>
      <c r="R29" s="15">
        <f t="shared" si="6"/>
        <v>36093750</v>
      </c>
      <c r="S29" s="15">
        <f t="shared" si="6"/>
        <v>36093750</v>
      </c>
      <c r="T29" s="15">
        <f t="shared" si="6"/>
        <v>36093750</v>
      </c>
      <c r="U29" s="15">
        <f t="shared" si="6"/>
        <v>36093750</v>
      </c>
      <c r="V29" s="15">
        <f t="shared" si="6"/>
        <v>36093750</v>
      </c>
      <c r="W29" s="15">
        <f t="shared" si="6"/>
        <v>36093750</v>
      </c>
      <c r="X29" s="15">
        <f t="shared" si="6"/>
        <v>36093750</v>
      </c>
      <c r="Y29" s="15">
        <f t="shared" si="6"/>
        <v>36093750</v>
      </c>
    </row>
    <row r="30" spans="2:25" ht="15">
      <c r="B30" t="s">
        <v>229</v>
      </c>
      <c r="F30" s="7">
        <f>(F28+F29)*$J$4</f>
        <v>481250000</v>
      </c>
      <c r="G30" s="7">
        <f aca="true" t="shared" si="7" ref="G30:Y30">(G28+G29)*$J$4</f>
        <v>481250000</v>
      </c>
      <c r="H30" s="7">
        <f t="shared" si="7"/>
        <v>481250000</v>
      </c>
      <c r="I30" s="7">
        <f t="shared" si="7"/>
        <v>36093750</v>
      </c>
      <c r="J30" s="7">
        <f t="shared" si="7"/>
        <v>36093750</v>
      </c>
      <c r="K30" s="7">
        <f t="shared" si="7"/>
        <v>36093750</v>
      </c>
      <c r="L30" s="7">
        <f t="shared" si="7"/>
        <v>36093750</v>
      </c>
      <c r="M30" s="7">
        <f t="shared" si="7"/>
        <v>36093750</v>
      </c>
      <c r="N30" s="7">
        <f t="shared" si="7"/>
        <v>36093750</v>
      </c>
      <c r="O30" s="7">
        <f t="shared" si="7"/>
        <v>36093750</v>
      </c>
      <c r="P30" s="7">
        <f t="shared" si="7"/>
        <v>36093750</v>
      </c>
      <c r="Q30" s="7">
        <f t="shared" si="7"/>
        <v>36093750</v>
      </c>
      <c r="R30" s="7">
        <f t="shared" si="7"/>
        <v>36093750</v>
      </c>
      <c r="S30" s="7">
        <f t="shared" si="7"/>
        <v>36093750</v>
      </c>
      <c r="T30" s="7">
        <f t="shared" si="7"/>
        <v>36093750</v>
      </c>
      <c r="U30" s="7">
        <f t="shared" si="7"/>
        <v>36093750</v>
      </c>
      <c r="V30" s="7">
        <f t="shared" si="7"/>
        <v>36093750</v>
      </c>
      <c r="W30" s="7">
        <f t="shared" si="7"/>
        <v>36093750</v>
      </c>
      <c r="X30" s="7">
        <f t="shared" si="7"/>
        <v>36093750</v>
      </c>
      <c r="Y30" s="7">
        <f t="shared" si="7"/>
        <v>36093750</v>
      </c>
    </row>
    <row r="31" spans="3:25" ht="15">
      <c r="C31" s="288" t="s">
        <v>389</v>
      </c>
      <c r="D31" s="7">
        <f>SUM(F30:Y30)/exrate</f>
        <v>26718750</v>
      </c>
      <c r="F31" s="7"/>
      <c r="G31" s="7"/>
      <c r="H31" s="7"/>
      <c r="I31" s="7"/>
      <c r="J31" s="7"/>
      <c r="K31" s="7"/>
      <c r="L31" s="7"/>
      <c r="M31" s="7"/>
      <c r="N31" s="7"/>
      <c r="O31" s="7"/>
      <c r="P31" s="7"/>
      <c r="Q31" s="7"/>
      <c r="R31" s="7"/>
      <c r="S31" s="7"/>
      <c r="T31" s="7"/>
      <c r="U31" s="7"/>
      <c r="V31" s="7"/>
      <c r="W31" s="7"/>
      <c r="X31" s="7"/>
      <c r="Y31" s="7"/>
    </row>
    <row r="32" spans="2:25" ht="15">
      <c r="B32" t="s">
        <v>406</v>
      </c>
      <c r="F32" s="7">
        <f>F21+F25+F30</f>
        <v>481250000</v>
      </c>
      <c r="G32" s="7">
        <f aca="true" t="shared" si="8" ref="G32:Y32">G21+G25+G30</f>
        <v>481250000</v>
      </c>
      <c r="H32" s="7">
        <f t="shared" si="8"/>
        <v>1939149928.684761</v>
      </c>
      <c r="I32" s="7">
        <f t="shared" si="8"/>
        <v>1636312481.2468448</v>
      </c>
      <c r="J32" s="7">
        <f t="shared" si="8"/>
        <v>328726745.5139031</v>
      </c>
      <c r="K32" s="7">
        <f t="shared" si="8"/>
        <v>342520823.6118551</v>
      </c>
      <c r="L32" s="7">
        <f t="shared" si="8"/>
        <v>358721627.5540773</v>
      </c>
      <c r="M32" s="7">
        <f t="shared" si="8"/>
        <v>374015449.7540409</v>
      </c>
      <c r="N32" s="7">
        <f t="shared" si="8"/>
        <v>391790985.00337493</v>
      </c>
      <c r="O32" s="7">
        <f t="shared" si="8"/>
        <v>408738275.075794</v>
      </c>
      <c r="P32" s="7">
        <f t="shared" si="8"/>
        <v>428249951.5912116</v>
      </c>
      <c r="Q32" s="7">
        <f t="shared" si="8"/>
        <v>447020189.9930324</v>
      </c>
      <c r="R32" s="7">
        <f t="shared" si="8"/>
        <v>468445962.2543115</v>
      </c>
      <c r="S32" s="7">
        <f t="shared" si="8"/>
        <v>489226001.1892889</v>
      </c>
      <c r="T32" s="7">
        <f t="shared" si="8"/>
        <v>512762064.01038736</v>
      </c>
      <c r="U32" s="7">
        <f t="shared" si="8"/>
        <v>535757908.0331589</v>
      </c>
      <c r="V32" s="7">
        <f t="shared" si="8"/>
        <v>-963252136.8871796</v>
      </c>
      <c r="W32" s="7">
        <f t="shared" si="8"/>
        <v>-2152555217.8437195</v>
      </c>
      <c r="X32" s="7">
        <f t="shared" si="8"/>
        <v>-779127077.9714513</v>
      </c>
      <c r="Y32" s="7">
        <f t="shared" si="8"/>
        <v>276004189.4784057</v>
      </c>
    </row>
    <row r="33" spans="3:4" ht="15">
      <c r="C33" s="354" t="s">
        <v>422</v>
      </c>
      <c r="D33" s="293">
        <f>NPV(0.1,F32:Y32)/exrate</f>
        <v>60023769.73897046</v>
      </c>
    </row>
    <row r="34" spans="2:25" ht="15">
      <c r="B34" t="s">
        <v>38</v>
      </c>
      <c r="F34" s="7">
        <f>F15-F32</f>
        <v>-481250000</v>
      </c>
      <c r="G34" s="7">
        <f aca="true" t="shared" si="9" ref="G34:Y34">G15-G32</f>
        <v>-481250000</v>
      </c>
      <c r="H34" s="7">
        <f t="shared" si="9"/>
        <v>-1939149928.684761</v>
      </c>
      <c r="I34" s="7">
        <f t="shared" si="9"/>
        <v>-1636312481.2468448</v>
      </c>
      <c r="J34" s="7">
        <f t="shared" si="9"/>
        <v>2768581954.915087</v>
      </c>
      <c r="K34" s="7">
        <f t="shared" si="9"/>
        <v>848204916.4492016</v>
      </c>
      <c r="L34" s="7">
        <f t="shared" si="9"/>
        <v>933843704.9644628</v>
      </c>
      <c r="M34" s="7">
        <f t="shared" si="9"/>
        <v>1025481454.8448536</v>
      </c>
      <c r="N34" s="7">
        <f t="shared" si="9"/>
        <v>1119984070.2798934</v>
      </c>
      <c r="O34" s="7">
        <f t="shared" si="9"/>
        <v>1220928838.4260683</v>
      </c>
      <c r="P34" s="7">
        <f t="shared" si="9"/>
        <v>1325203823.0401716</v>
      </c>
      <c r="Q34" s="7">
        <f t="shared" si="9"/>
        <v>1436409578.8243375</v>
      </c>
      <c r="R34" s="7">
        <f t="shared" si="9"/>
        <v>1551458600.4583614</v>
      </c>
      <c r="S34" s="7">
        <f t="shared" si="9"/>
        <v>1673977095.1134431</v>
      </c>
      <c r="T34" s="7">
        <f t="shared" si="9"/>
        <v>1800904492.561902</v>
      </c>
      <c r="U34" s="7">
        <f t="shared" si="9"/>
        <v>1935895281.8221922</v>
      </c>
      <c r="V34" s="7">
        <f t="shared" si="9"/>
        <v>3600791291.689721</v>
      </c>
      <c r="W34" s="7">
        <f t="shared" si="9"/>
        <v>4964274635.840815</v>
      </c>
      <c r="X34" s="7">
        <f t="shared" si="9"/>
        <v>558073698.1790974</v>
      </c>
      <c r="Y34" s="7">
        <f t="shared" si="9"/>
        <v>-556266634.8141851</v>
      </c>
    </row>
    <row r="35" spans="2:3" ht="15">
      <c r="B35" t="s">
        <v>39</v>
      </c>
      <c r="C35" s="11">
        <f>IRR(F34:Y34,0.1)</f>
        <v>0.25785759988356705</v>
      </c>
    </row>
    <row r="37" spans="2:10" ht="15">
      <c r="B37" t="s">
        <v>407</v>
      </c>
      <c r="F37" s="7">
        <f>(SUM($F28:$J28)*0.1/5)*$J$4</f>
        <v>28875000</v>
      </c>
      <c r="G37" s="7">
        <f>(SUM($F28:$J28)*0.1/5)*$J$4</f>
        <v>28875000</v>
      </c>
      <c r="H37" s="7">
        <f>(SUM($F28:$J28)*0.1/5)*$J$4</f>
        <v>28875000</v>
      </c>
      <c r="I37" s="7">
        <f>(SUM($F28:$J28)*0.1/5)*$J$4</f>
        <v>28875000</v>
      </c>
      <c r="J37" s="7">
        <f>(SUM($F28:$J28)*0.1/5)*$J$4</f>
        <v>28875000</v>
      </c>
    </row>
    <row r="38" spans="2:25" ht="15">
      <c r="B38" t="s">
        <v>38</v>
      </c>
      <c r="F38" s="7">
        <f>F34-F37</f>
        <v>-510125000</v>
      </c>
      <c r="G38" s="7">
        <f aca="true" t="shared" si="10" ref="G38:Y38">G34-G37</f>
        <v>-510125000</v>
      </c>
      <c r="H38" s="7">
        <f t="shared" si="10"/>
        <v>-1968024928.684761</v>
      </c>
      <c r="I38" s="7">
        <f t="shared" si="10"/>
        <v>-1665187481.2468448</v>
      </c>
      <c r="J38" s="7">
        <f t="shared" si="10"/>
        <v>2739706954.915087</v>
      </c>
      <c r="K38" s="7">
        <f t="shared" si="10"/>
        <v>848204916.4492016</v>
      </c>
      <c r="L38" s="7">
        <f t="shared" si="10"/>
        <v>933843704.9644628</v>
      </c>
      <c r="M38" s="7">
        <f t="shared" si="10"/>
        <v>1025481454.8448536</v>
      </c>
      <c r="N38" s="7">
        <f t="shared" si="10"/>
        <v>1119984070.2798934</v>
      </c>
      <c r="O38" s="7">
        <f t="shared" si="10"/>
        <v>1220928838.4260683</v>
      </c>
      <c r="P38" s="7">
        <f t="shared" si="10"/>
        <v>1325203823.0401716</v>
      </c>
      <c r="Q38" s="7">
        <f t="shared" si="10"/>
        <v>1436409578.8243375</v>
      </c>
      <c r="R38" s="7">
        <f t="shared" si="10"/>
        <v>1551458600.4583614</v>
      </c>
      <c r="S38" s="7">
        <f t="shared" si="10"/>
        <v>1673977095.1134431</v>
      </c>
      <c r="T38" s="7">
        <f t="shared" si="10"/>
        <v>1800904492.561902</v>
      </c>
      <c r="U38" s="7">
        <f t="shared" si="10"/>
        <v>1935895281.8221922</v>
      </c>
      <c r="V38" s="7">
        <f t="shared" si="10"/>
        <v>3600791291.689721</v>
      </c>
      <c r="W38" s="7">
        <f t="shared" si="10"/>
        <v>4964274635.840815</v>
      </c>
      <c r="X38" s="7">
        <f t="shared" si="10"/>
        <v>558073698.1790974</v>
      </c>
      <c r="Y38" s="7">
        <f t="shared" si="10"/>
        <v>-556266634.8141851</v>
      </c>
    </row>
    <row r="39" spans="2:4" ht="15">
      <c r="B39" t="s">
        <v>39</v>
      </c>
      <c r="C39" s="160">
        <f>IRR(F38:Y38,0.1)</f>
        <v>0.25059750096025635</v>
      </c>
      <c r="D39" t="s">
        <v>279</v>
      </c>
    </row>
    <row r="41" spans="12:17" ht="15">
      <c r="L41" s="315"/>
      <c r="M41" s="316"/>
      <c r="N41" s="316"/>
      <c r="O41" s="316"/>
      <c r="P41" s="316"/>
      <c r="Q41" s="316"/>
    </row>
    <row r="42" spans="12:17" ht="15">
      <c r="L42" s="316"/>
      <c r="M42" s="316"/>
      <c r="N42" s="316"/>
      <c r="O42" s="316"/>
      <c r="P42" s="316"/>
      <c r="Q42" s="317"/>
    </row>
    <row r="43" spans="12:17" ht="15">
      <c r="L43" s="316"/>
      <c r="M43" s="316"/>
      <c r="N43" s="316"/>
      <c r="O43" s="316"/>
      <c r="P43" s="316"/>
      <c r="Q43" s="316"/>
    </row>
    <row r="44" spans="12:17" ht="15">
      <c r="L44" s="315"/>
      <c r="M44" s="316"/>
      <c r="N44" s="316"/>
      <c r="O44" s="316"/>
      <c r="P44" s="316"/>
      <c r="Q44" s="316"/>
    </row>
    <row r="45" spans="12:17" ht="15">
      <c r="L45" s="316"/>
      <c r="M45" s="316"/>
      <c r="N45" s="316"/>
      <c r="O45" s="316"/>
      <c r="P45" s="316"/>
      <c r="Q45" s="317"/>
    </row>
    <row r="48" spans="6:25" ht="15">
      <c r="F48" s="7"/>
      <c r="G48" s="7"/>
      <c r="H48" s="7"/>
      <c r="I48" s="7"/>
      <c r="J48" s="7"/>
      <c r="K48" s="7"/>
      <c r="L48" s="7"/>
      <c r="M48" s="7"/>
      <c r="N48" s="7"/>
      <c r="O48" s="7"/>
      <c r="P48" s="7"/>
      <c r="Q48" s="7"/>
      <c r="R48" s="7"/>
      <c r="S48" s="7"/>
      <c r="T48" s="7"/>
      <c r="U48" s="7"/>
      <c r="V48" s="7"/>
      <c r="W48" s="7"/>
      <c r="X48" s="7"/>
      <c r="Y48" s="7"/>
    </row>
    <row r="49" ht="15">
      <c r="C49" s="11"/>
    </row>
    <row r="87" ht="15">
      <c r="C87" s="121"/>
    </row>
  </sheetData>
  <sheetProtection/>
  <mergeCells count="1">
    <mergeCell ref="B1:H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N1064"/>
  <sheetViews>
    <sheetView zoomScalePageLayoutView="0" workbookViewId="0" topLeftCell="A1">
      <selection activeCell="A1" sqref="A1"/>
    </sheetView>
  </sheetViews>
  <sheetFormatPr defaultColWidth="9.140625" defaultRowHeight="15"/>
  <cols>
    <col min="1" max="1" width="7.7109375" style="0" customWidth="1"/>
    <col min="2" max="2" width="23.140625" style="0" customWidth="1"/>
    <col min="3" max="3" width="33.421875" style="0" customWidth="1"/>
    <col min="4" max="4" width="35.140625" style="0" customWidth="1"/>
    <col min="7" max="7" width="11.00390625" style="0" bestFit="1" customWidth="1"/>
    <col min="8" max="8" width="12.00390625" style="0" bestFit="1" customWidth="1"/>
  </cols>
  <sheetData>
    <row r="1" spans="2:9" s="127" customFormat="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296"/>
      <c r="H1" s="296"/>
      <c r="I1" s="242" t="str">
        <f>'User''s Guide'!C1</f>
        <v>Last  Updated : 'September 2011</v>
      </c>
    </row>
    <row r="2" spans="1:7" s="133" customFormat="1" ht="20.25">
      <c r="A2" s="130"/>
      <c r="B2" s="131" t="s">
        <v>432</v>
      </c>
      <c r="C2" s="130"/>
      <c r="D2" s="130"/>
      <c r="E2" s="130"/>
      <c r="F2" s="130"/>
      <c r="G2" s="132"/>
    </row>
    <row r="3" spans="1:7" s="133" customFormat="1" ht="20.25" customHeight="1">
      <c r="A3" s="130"/>
      <c r="B3" s="134"/>
      <c r="C3" s="130"/>
      <c r="D3" s="130"/>
      <c r="E3" s="130"/>
      <c r="F3" s="130"/>
      <c r="G3" s="130"/>
    </row>
    <row r="5" spans="2:5" ht="15" customHeight="1">
      <c r="B5" s="383" t="s">
        <v>325</v>
      </c>
      <c r="C5" s="383"/>
      <c r="D5" s="383"/>
      <c r="E5" s="187"/>
    </row>
    <row r="6" spans="2:5" ht="15">
      <c r="B6" s="383"/>
      <c r="C6" s="383"/>
      <c r="D6" s="383"/>
      <c r="E6" s="187"/>
    </row>
    <row r="7" spans="2:5" ht="15">
      <c r="B7" s="383"/>
      <c r="C7" s="383"/>
      <c r="D7" s="383"/>
      <c r="E7" s="187"/>
    </row>
    <row r="8" spans="2:5" ht="81.75" customHeight="1">
      <c r="B8" s="383"/>
      <c r="C8" s="383"/>
      <c r="D8" s="383"/>
      <c r="E8" s="187"/>
    </row>
    <row r="9" ht="15">
      <c r="B9" s="179" t="s">
        <v>315</v>
      </c>
    </row>
    <row r="10" ht="15.75" thickBot="1"/>
    <row r="11" spans="2:7" ht="15">
      <c r="B11" s="172" t="s">
        <v>310</v>
      </c>
      <c r="C11" s="176" t="s">
        <v>313</v>
      </c>
      <c r="F11" s="180">
        <v>3500</v>
      </c>
      <c r="G11" s="180">
        <v>1.7524681441841437E-08</v>
      </c>
    </row>
    <row r="12" spans="2:7" ht="15">
      <c r="B12" s="173" t="s">
        <v>311</v>
      </c>
      <c r="C12" s="177" t="s">
        <v>312</v>
      </c>
      <c r="F12" s="180">
        <v>3600</v>
      </c>
      <c r="G12" s="180">
        <v>1.1810763462138147E-07</v>
      </c>
    </row>
    <row r="13" spans="2:7" ht="15.75" thickBot="1">
      <c r="B13" s="174" t="s">
        <v>248</v>
      </c>
      <c r="C13" s="178">
        <v>4649</v>
      </c>
      <c r="F13" s="180">
        <v>3700</v>
      </c>
      <c r="G13" s="180">
        <v>6.691253197062038E-07</v>
      </c>
    </row>
    <row r="14" spans="2:14" ht="15">
      <c r="B14" s="175" t="s">
        <v>314</v>
      </c>
      <c r="F14" s="180">
        <v>3800</v>
      </c>
      <c r="G14" s="180">
        <v>3.1866811278642253E-06</v>
      </c>
      <c r="J14" s="5"/>
      <c r="M14" s="171"/>
      <c r="N14" s="171"/>
    </row>
    <row r="15" spans="6:14" ht="15">
      <c r="F15" s="180">
        <v>3900</v>
      </c>
      <c r="G15" s="180">
        <v>1.2757671209852972E-05</v>
      </c>
      <c r="J15" s="5"/>
      <c r="M15" s="171"/>
      <c r="N15" s="171"/>
    </row>
    <row r="16" spans="6:7" ht="15">
      <c r="F16" s="180">
        <v>4000</v>
      </c>
      <c r="G16" s="180">
        <v>4.2934445143314434E-05</v>
      </c>
    </row>
    <row r="17" spans="6:7" ht="15">
      <c r="F17" s="180">
        <v>4100</v>
      </c>
      <c r="G17" s="180">
        <v>0.00012146242751752404</v>
      </c>
    </row>
    <row r="18" spans="6:7" ht="15">
      <c r="F18" s="180">
        <v>4200</v>
      </c>
      <c r="G18" s="180">
        <v>0.00028885488121189903</v>
      </c>
    </row>
    <row r="19" spans="6:7" ht="15">
      <c r="F19" s="180">
        <v>4300</v>
      </c>
      <c r="G19" s="180">
        <v>0.0005774562917182977</v>
      </c>
    </row>
    <row r="20" spans="6:7" ht="15">
      <c r="F20" s="180">
        <v>4400</v>
      </c>
      <c r="G20" s="180">
        <v>0.0009704209790984221</v>
      </c>
    </row>
    <row r="21" spans="6:7" ht="15">
      <c r="F21" s="180">
        <v>4500</v>
      </c>
      <c r="G21" s="180">
        <v>0.001370890883664397</v>
      </c>
    </row>
    <row r="22" spans="6:7" ht="15">
      <c r="F22" s="180">
        <v>4600</v>
      </c>
      <c r="G22" s="180">
        <v>0.0016279732049135425</v>
      </c>
    </row>
    <row r="23" spans="6:7" ht="15">
      <c r="F23" s="180">
        <v>4700</v>
      </c>
      <c r="G23" s="180">
        <v>0.0016251493145469087</v>
      </c>
    </row>
    <row r="24" spans="6:7" ht="15">
      <c r="F24" s="180">
        <v>4800</v>
      </c>
      <c r="G24" s="180">
        <v>0.0013637693886371805</v>
      </c>
    </row>
    <row r="25" spans="6:7" ht="15">
      <c r="F25" s="180">
        <v>4900</v>
      </c>
      <c r="G25" s="180">
        <v>0.0009620336419171155</v>
      </c>
    </row>
    <row r="26" spans="6:7" ht="15">
      <c r="F26" s="180">
        <v>5000</v>
      </c>
      <c r="G26" s="180">
        <v>0.000570481063773657</v>
      </c>
    </row>
    <row r="27" spans="6:7" ht="15">
      <c r="F27" s="180">
        <v>5100</v>
      </c>
      <c r="G27" s="180">
        <v>0.00028437660136473506</v>
      </c>
    </row>
    <row r="28" spans="6:7" ht="15">
      <c r="F28" s="180">
        <v>5200</v>
      </c>
      <c r="G28" s="180">
        <v>0.00011916484113424064</v>
      </c>
    </row>
    <row r="29" spans="6:7" ht="15">
      <c r="F29" s="180">
        <v>5300</v>
      </c>
      <c r="G29" s="180">
        <v>4.1976291735607364E-05</v>
      </c>
    </row>
    <row r="30" spans="6:7" ht="15">
      <c r="F30" s="180">
        <v>5400</v>
      </c>
      <c r="G30" s="180">
        <v>1.242972880529431E-05</v>
      </c>
    </row>
    <row r="31" spans="6:7" ht="15">
      <c r="F31" s="180">
        <v>5500</v>
      </c>
      <c r="G31" s="180">
        <v>3.0940041316618163E-06</v>
      </c>
    </row>
    <row r="32" spans="6:7" ht="15">
      <c r="F32" s="180">
        <v>5600</v>
      </c>
      <c r="G32" s="180">
        <v>6.47413539805367E-07</v>
      </c>
    </row>
    <row r="33" spans="6:7" ht="15">
      <c r="F33" s="180">
        <v>5700</v>
      </c>
      <c r="G33" s="180">
        <v>1.1387917673800033E-07</v>
      </c>
    </row>
    <row r="34" spans="6:7" ht="15">
      <c r="F34" s="180">
        <v>5800</v>
      </c>
      <c r="G34" s="180">
        <v>1.6838698167267698E-08</v>
      </c>
    </row>
    <row r="35" spans="6:7" ht="15">
      <c r="F35" s="180"/>
      <c r="G35" s="180"/>
    </row>
    <row r="36" spans="6:7" ht="15">
      <c r="F36" s="180"/>
      <c r="G36" s="180"/>
    </row>
    <row r="37" spans="6:7" ht="15">
      <c r="F37" s="180"/>
      <c r="G37" s="180"/>
    </row>
    <row r="38" spans="6:7" ht="15.75" thickBot="1">
      <c r="F38" s="180"/>
      <c r="G38" s="180"/>
    </row>
    <row r="39" spans="2:7" ht="15">
      <c r="B39" s="172" t="s">
        <v>310</v>
      </c>
      <c r="C39" s="176" t="s">
        <v>316</v>
      </c>
      <c r="F39" s="180">
        <v>7.9</v>
      </c>
      <c r="G39" s="180">
        <v>7.694598626706419E-22</v>
      </c>
    </row>
    <row r="40" spans="2:14" ht="15">
      <c r="B40" s="173" t="s">
        <v>311</v>
      </c>
      <c r="C40" s="177" t="s">
        <v>317</v>
      </c>
      <c r="F40" s="180">
        <v>8</v>
      </c>
      <c r="G40" s="180">
        <v>1.0279773571668625E-17</v>
      </c>
      <c r="J40" s="5"/>
      <c r="M40" s="171"/>
      <c r="N40" s="171"/>
    </row>
    <row r="41" spans="2:14" ht="15.75" thickBot="1">
      <c r="B41" s="174" t="s">
        <v>248</v>
      </c>
      <c r="C41" s="178">
        <v>8.9</v>
      </c>
      <c r="F41" s="180">
        <v>8.1</v>
      </c>
      <c r="G41" s="180">
        <v>5.0522710835366054E-14</v>
      </c>
      <c r="J41" s="5"/>
      <c r="M41" s="171"/>
      <c r="N41" s="171"/>
    </row>
    <row r="42" spans="2:14" ht="15">
      <c r="B42" s="175" t="s">
        <v>314</v>
      </c>
      <c r="F42" s="180">
        <v>8.2</v>
      </c>
      <c r="G42" s="180">
        <v>9.134720408363912E-11</v>
      </c>
      <c r="J42" s="5"/>
      <c r="M42" s="171"/>
      <c r="N42" s="171"/>
    </row>
    <row r="43" spans="6:14" ht="15">
      <c r="F43" s="180">
        <v>8.299999999999999</v>
      </c>
      <c r="G43" s="180">
        <v>6.075882849822767E-08</v>
      </c>
      <c r="J43" s="5"/>
      <c r="M43" s="171"/>
      <c r="N43" s="171"/>
    </row>
    <row r="44" spans="6:14" ht="15">
      <c r="F44" s="180">
        <v>8.399999999999999</v>
      </c>
      <c r="G44" s="180">
        <v>1.486719514734166E-05</v>
      </c>
      <c r="J44" s="5"/>
      <c r="M44" s="171"/>
      <c r="N44" s="171"/>
    </row>
    <row r="45" spans="6:14" ht="15">
      <c r="F45" s="180">
        <v>8.499999999999998</v>
      </c>
      <c r="G45" s="180">
        <v>0.0013383022576487393</v>
      </c>
      <c r="J45" s="5"/>
      <c r="M45" s="171"/>
      <c r="N45" s="171"/>
    </row>
    <row r="46" spans="6:14" ht="15">
      <c r="F46" s="180">
        <v>8.599999999999998</v>
      </c>
      <c r="G46" s="180">
        <v>0.044318484119376764</v>
      </c>
      <c r="J46" s="5"/>
      <c r="M46" s="171"/>
      <c r="N46" s="171"/>
    </row>
    <row r="47" spans="6:10" ht="15">
      <c r="F47" s="180">
        <v>8.699999999999998</v>
      </c>
      <c r="G47" s="180">
        <v>0.5399096651318498</v>
      </c>
      <c r="J47" s="5"/>
    </row>
    <row r="48" spans="6:10" ht="15">
      <c r="F48" s="180">
        <v>8.799999999999997</v>
      </c>
      <c r="G48" s="180">
        <v>2.419707245191356</v>
      </c>
      <c r="J48" s="5"/>
    </row>
    <row r="49" spans="6:10" ht="15">
      <c r="F49" s="180">
        <v>8.899999999999997</v>
      </c>
      <c r="G49" s="180">
        <v>3.989422804014327</v>
      </c>
      <c r="J49" s="5"/>
    </row>
    <row r="50" spans="6:10" ht="15">
      <c r="F50" s="180">
        <v>8.999999999999996</v>
      </c>
      <c r="G50" s="180">
        <v>2.419707245191528</v>
      </c>
      <c r="J50" s="5"/>
    </row>
    <row r="51" spans="6:10" ht="15">
      <c r="F51" s="180">
        <v>9.099999999999996</v>
      </c>
      <c r="G51" s="180">
        <v>0.5399096651319265</v>
      </c>
      <c r="J51" s="5"/>
    </row>
    <row r="52" spans="6:10" ht="15">
      <c r="F52" s="180">
        <v>9.199999999999996</v>
      </c>
      <c r="G52" s="180">
        <v>0.044318484119386214</v>
      </c>
      <c r="J52" s="5"/>
    </row>
    <row r="53" spans="6:10" ht="15">
      <c r="F53" s="180">
        <v>9.299999999999995</v>
      </c>
      <c r="G53" s="180">
        <v>0.00133830225764912</v>
      </c>
      <c r="J53" s="5"/>
    </row>
    <row r="54" spans="6:10" ht="15">
      <c r="F54" s="180">
        <v>9.399999999999995</v>
      </c>
      <c r="G54" s="180">
        <v>1.4867195147346938E-05</v>
      </c>
      <c r="J54" s="5"/>
    </row>
    <row r="55" spans="6:10" ht="15">
      <c r="F55" s="180">
        <v>9.499999999999995</v>
      </c>
      <c r="G55" s="180">
        <v>6.075882849825357E-08</v>
      </c>
      <c r="J55" s="5"/>
    </row>
    <row r="56" spans="6:10" ht="15">
      <c r="F56" s="180">
        <v>9.599999999999994</v>
      </c>
      <c r="G56" s="180">
        <v>9.134720408368456E-11</v>
      </c>
      <c r="J56" s="5"/>
    </row>
    <row r="57" spans="6:10" ht="15">
      <c r="F57" s="180">
        <v>9.699999999999994</v>
      </c>
      <c r="G57" s="180">
        <v>5.0522710835394775E-14</v>
      </c>
      <c r="J57" s="5"/>
    </row>
    <row r="58" spans="6:10" ht="15">
      <c r="F58" s="180">
        <v>9.799999999999994</v>
      </c>
      <c r="G58" s="180">
        <v>1.0279773571675197E-17</v>
      </c>
      <c r="J58" s="5"/>
    </row>
    <row r="59" spans="6:10" ht="15">
      <c r="F59" s="180">
        <v>9.899999999999993</v>
      </c>
      <c r="G59" s="180">
        <v>7.694598626711886E-22</v>
      </c>
      <c r="J59" s="5"/>
    </row>
    <row r="60" ht="15">
      <c r="J60" s="5"/>
    </row>
    <row r="61" ht="15">
      <c r="J61" s="5"/>
    </row>
    <row r="62" ht="15">
      <c r="J62" s="5"/>
    </row>
    <row r="63" ht="15">
      <c r="J63" s="5"/>
    </row>
    <row r="64" ht="15">
      <c r="J64" s="5"/>
    </row>
    <row r="65" ht="15">
      <c r="J65" s="5"/>
    </row>
    <row r="66" ht="15">
      <c r="J66" s="5"/>
    </row>
    <row r="67" ht="15">
      <c r="J67" s="5"/>
    </row>
    <row r="68" ht="15">
      <c r="J68" s="5"/>
    </row>
    <row r="69" ht="15">
      <c r="J69" s="5"/>
    </row>
    <row r="70" ht="15">
      <c r="J70" s="5"/>
    </row>
    <row r="71" ht="15">
      <c r="J71" s="5"/>
    </row>
    <row r="72" ht="15">
      <c r="J72" s="5"/>
    </row>
    <row r="73" ht="15">
      <c r="J73" s="5"/>
    </row>
    <row r="74" ht="15">
      <c r="J74" s="5"/>
    </row>
    <row r="75" ht="15">
      <c r="J75" s="5"/>
    </row>
    <row r="76" ht="15">
      <c r="J76" s="5"/>
    </row>
    <row r="77" ht="15">
      <c r="J77" s="5"/>
    </row>
    <row r="78" ht="15">
      <c r="J78" s="5"/>
    </row>
    <row r="79" ht="15">
      <c r="J79" s="5"/>
    </row>
    <row r="80" ht="15">
      <c r="J80" s="5"/>
    </row>
    <row r="81" ht="15">
      <c r="J81" s="5"/>
    </row>
    <row r="82" ht="15">
      <c r="J82" s="5"/>
    </row>
    <row r="83" ht="15">
      <c r="J83" s="5"/>
    </row>
    <row r="84" ht="15">
      <c r="J84" s="5"/>
    </row>
    <row r="85" ht="15">
      <c r="J85" s="5"/>
    </row>
    <row r="86" ht="15">
      <c r="J86" s="5"/>
    </row>
    <row r="87" ht="15">
      <c r="J87" s="5"/>
    </row>
    <row r="88" ht="15">
      <c r="J88" s="5"/>
    </row>
    <row r="89" ht="15">
      <c r="J89" s="5"/>
    </row>
    <row r="90" ht="15">
      <c r="J90" s="5"/>
    </row>
    <row r="91" ht="15">
      <c r="J91" s="5"/>
    </row>
    <row r="92" ht="15">
      <c r="J92" s="5"/>
    </row>
    <row r="93" ht="15">
      <c r="J93" s="5"/>
    </row>
    <row r="94" ht="15">
      <c r="J94" s="5"/>
    </row>
    <row r="95" ht="15">
      <c r="J95" s="5"/>
    </row>
    <row r="96" ht="15">
      <c r="J96" s="5"/>
    </row>
    <row r="97" ht="15">
      <c r="J97" s="5"/>
    </row>
    <row r="98" ht="15">
      <c r="J98" s="5"/>
    </row>
    <row r="99" ht="15">
      <c r="J99" s="5"/>
    </row>
    <row r="100" ht="15">
      <c r="J100" s="5"/>
    </row>
    <row r="101" ht="15">
      <c r="J101" s="5"/>
    </row>
    <row r="102" ht="15">
      <c r="J102" s="5"/>
    </row>
    <row r="103" ht="15">
      <c r="J103" s="5"/>
    </row>
    <row r="104" ht="15">
      <c r="J104" s="5"/>
    </row>
    <row r="105" ht="15">
      <c r="J105" s="5"/>
    </row>
    <row r="106" ht="15">
      <c r="J106" s="5"/>
    </row>
    <row r="107" ht="15">
      <c r="J107" s="5"/>
    </row>
    <row r="108" ht="15">
      <c r="J108" s="5"/>
    </row>
    <row r="109" ht="15">
      <c r="J109" s="5"/>
    </row>
    <row r="110" ht="15">
      <c r="J110" s="5"/>
    </row>
    <row r="111" ht="15">
      <c r="J111" s="5"/>
    </row>
    <row r="112" ht="15">
      <c r="J112" s="5"/>
    </row>
    <row r="113" ht="15">
      <c r="J113" s="5"/>
    </row>
    <row r="114" ht="15">
      <c r="J114" s="5"/>
    </row>
    <row r="115" ht="15">
      <c r="J115" s="5"/>
    </row>
    <row r="116" ht="15">
      <c r="J116" s="5"/>
    </row>
    <row r="117" ht="15">
      <c r="J117" s="5"/>
    </row>
    <row r="118" ht="15">
      <c r="J118" s="5"/>
    </row>
    <row r="119" ht="15">
      <c r="J119" s="5"/>
    </row>
    <row r="120" ht="15">
      <c r="J120" s="5"/>
    </row>
    <row r="121" ht="15">
      <c r="J121" s="5"/>
    </row>
    <row r="122" ht="15">
      <c r="J122" s="5"/>
    </row>
    <row r="123" ht="15">
      <c r="J123" s="5"/>
    </row>
    <row r="124" ht="15">
      <c r="J124" s="5"/>
    </row>
    <row r="125" ht="15">
      <c r="J125" s="5"/>
    </row>
    <row r="126" ht="15">
      <c r="J126" s="5"/>
    </row>
    <row r="127" ht="15">
      <c r="J127" s="5"/>
    </row>
    <row r="128" ht="15">
      <c r="J128" s="5"/>
    </row>
    <row r="129" ht="15">
      <c r="J129" s="5"/>
    </row>
    <row r="130" ht="15">
      <c r="J130" s="5"/>
    </row>
    <row r="131" ht="15">
      <c r="J131" s="5"/>
    </row>
    <row r="132" ht="15">
      <c r="J132" s="5"/>
    </row>
    <row r="133" ht="15">
      <c r="J133" s="5"/>
    </row>
    <row r="134" ht="15">
      <c r="J134" s="5"/>
    </row>
    <row r="135" ht="15">
      <c r="J135" s="5"/>
    </row>
    <row r="136" ht="15">
      <c r="J136" s="5"/>
    </row>
    <row r="137" ht="15">
      <c r="J137" s="5"/>
    </row>
    <row r="138" ht="15">
      <c r="J138" s="5"/>
    </row>
    <row r="139" ht="15">
      <c r="J139" s="5"/>
    </row>
    <row r="140" ht="15">
      <c r="J140" s="5"/>
    </row>
    <row r="141" ht="15">
      <c r="J141" s="5"/>
    </row>
    <row r="142" ht="15">
      <c r="J142" s="5"/>
    </row>
    <row r="143" ht="15">
      <c r="J143" s="5"/>
    </row>
    <row r="144" ht="15">
      <c r="J144" s="5"/>
    </row>
    <row r="145" ht="15">
      <c r="J145" s="5"/>
    </row>
    <row r="146" ht="15">
      <c r="J146" s="5"/>
    </row>
    <row r="147" ht="15">
      <c r="J147" s="5"/>
    </row>
    <row r="148" ht="15">
      <c r="J148" s="5"/>
    </row>
    <row r="149" ht="15">
      <c r="J149" s="5"/>
    </row>
    <row r="150" ht="15">
      <c r="J150" s="5"/>
    </row>
    <row r="151" ht="15">
      <c r="J151" s="5"/>
    </row>
    <row r="152" ht="15">
      <c r="J152" s="5"/>
    </row>
    <row r="153" ht="15">
      <c r="J153" s="5"/>
    </row>
    <row r="154" ht="15">
      <c r="J154" s="5"/>
    </row>
    <row r="155" ht="15">
      <c r="J155" s="5"/>
    </row>
    <row r="156" ht="15">
      <c r="J156" s="5"/>
    </row>
    <row r="157" ht="15">
      <c r="J157" s="5"/>
    </row>
    <row r="158" ht="15">
      <c r="J158" s="5"/>
    </row>
    <row r="159" ht="15">
      <c r="J159" s="5"/>
    </row>
    <row r="160" ht="15">
      <c r="J160" s="5"/>
    </row>
    <row r="161" ht="15">
      <c r="J161" s="5"/>
    </row>
    <row r="162" ht="15">
      <c r="J162" s="5"/>
    </row>
    <row r="163" ht="15">
      <c r="J163" s="5"/>
    </row>
    <row r="164" ht="15">
      <c r="J164" s="5"/>
    </row>
    <row r="165" ht="15">
      <c r="J165" s="5"/>
    </row>
    <row r="166" ht="15">
      <c r="J166" s="5"/>
    </row>
    <row r="167" ht="15">
      <c r="J167" s="5"/>
    </row>
    <row r="168" ht="15">
      <c r="J168" s="5"/>
    </row>
    <row r="169" ht="15">
      <c r="J169" s="5"/>
    </row>
    <row r="170" ht="15">
      <c r="J170" s="5"/>
    </row>
    <row r="171" ht="15">
      <c r="J171" s="5"/>
    </row>
    <row r="172" ht="15">
      <c r="J172" s="5"/>
    </row>
    <row r="173" ht="15">
      <c r="J173" s="5"/>
    </row>
    <row r="174" ht="15">
      <c r="J174" s="5"/>
    </row>
    <row r="175" ht="15">
      <c r="J175" s="5"/>
    </row>
    <row r="176" ht="15">
      <c r="J176" s="5"/>
    </row>
    <row r="177" ht="15">
      <c r="J177" s="5"/>
    </row>
    <row r="178" ht="15">
      <c r="J178" s="5"/>
    </row>
    <row r="179" ht="15">
      <c r="J179" s="5"/>
    </row>
    <row r="180" ht="15">
      <c r="J180" s="5"/>
    </row>
    <row r="181" ht="15">
      <c r="J181" s="5"/>
    </row>
    <row r="182" ht="15">
      <c r="J182" s="5"/>
    </row>
    <row r="183" ht="15">
      <c r="J183" s="5"/>
    </row>
    <row r="184" ht="15">
      <c r="J184" s="5"/>
    </row>
    <row r="185" ht="15">
      <c r="J185" s="5"/>
    </row>
    <row r="186" ht="15">
      <c r="J186" s="5"/>
    </row>
    <row r="187" ht="15">
      <c r="J187" s="5"/>
    </row>
    <row r="188" ht="15">
      <c r="J188" s="5"/>
    </row>
    <row r="189" ht="15">
      <c r="J189" s="5"/>
    </row>
    <row r="190" ht="15">
      <c r="J190" s="5"/>
    </row>
    <row r="191" ht="15">
      <c r="J191" s="5"/>
    </row>
    <row r="192" ht="15">
      <c r="J192" s="5"/>
    </row>
    <row r="193" ht="15">
      <c r="J193" s="5"/>
    </row>
    <row r="194" ht="15">
      <c r="J194" s="5"/>
    </row>
    <row r="195" ht="15">
      <c r="J195" s="5"/>
    </row>
    <row r="196" ht="15">
      <c r="J196" s="5"/>
    </row>
    <row r="197" ht="15">
      <c r="J197" s="5"/>
    </row>
    <row r="198" ht="15">
      <c r="J198" s="5"/>
    </row>
    <row r="199" ht="15">
      <c r="J199" s="5"/>
    </row>
    <row r="200" ht="15">
      <c r="J200" s="5"/>
    </row>
    <row r="201" ht="15">
      <c r="J201" s="5"/>
    </row>
    <row r="202" ht="15">
      <c r="J202" s="5"/>
    </row>
    <row r="203" ht="15">
      <c r="J203" s="5"/>
    </row>
    <row r="204" ht="15">
      <c r="J204" s="5"/>
    </row>
    <row r="205" ht="15">
      <c r="J205" s="5"/>
    </row>
    <row r="206" ht="15">
      <c r="J206" s="5"/>
    </row>
    <row r="207" ht="15">
      <c r="J207" s="5"/>
    </row>
    <row r="208" ht="15">
      <c r="J208" s="5"/>
    </row>
    <row r="209" ht="15">
      <c r="J209" s="5"/>
    </row>
    <row r="210" ht="15">
      <c r="J210" s="5"/>
    </row>
    <row r="211" ht="15">
      <c r="J211" s="5"/>
    </row>
    <row r="212" ht="15">
      <c r="J212" s="5"/>
    </row>
    <row r="213" ht="15">
      <c r="J213" s="5"/>
    </row>
    <row r="214" ht="15">
      <c r="J214" s="5"/>
    </row>
    <row r="215" ht="15">
      <c r="J215" s="5"/>
    </row>
    <row r="216" ht="15">
      <c r="J216" s="5"/>
    </row>
    <row r="217" ht="15">
      <c r="J217" s="5"/>
    </row>
    <row r="218" ht="15">
      <c r="J218" s="5"/>
    </row>
    <row r="219" ht="15">
      <c r="J219" s="5"/>
    </row>
    <row r="220" ht="15">
      <c r="J220" s="5"/>
    </row>
    <row r="221" ht="15">
      <c r="J221" s="5"/>
    </row>
    <row r="222" ht="15">
      <c r="J222" s="5"/>
    </row>
    <row r="223" ht="15">
      <c r="J223" s="5"/>
    </row>
    <row r="224" ht="15">
      <c r="J224" s="5"/>
    </row>
    <row r="225" ht="15">
      <c r="J225" s="5"/>
    </row>
    <row r="226" ht="15">
      <c r="J226" s="5"/>
    </row>
    <row r="227" ht="15">
      <c r="J227" s="5"/>
    </row>
    <row r="228" ht="15">
      <c r="J228" s="5"/>
    </row>
    <row r="229" ht="15">
      <c r="J229" s="5"/>
    </row>
    <row r="230" ht="15">
      <c r="J230" s="5"/>
    </row>
    <row r="231" ht="15">
      <c r="J231" s="5"/>
    </row>
    <row r="232" ht="15">
      <c r="J232" s="5"/>
    </row>
    <row r="233" ht="15">
      <c r="J233" s="5"/>
    </row>
    <row r="234" ht="15">
      <c r="J234" s="5"/>
    </row>
    <row r="235" ht="15">
      <c r="J235" s="5"/>
    </row>
    <row r="236" ht="15">
      <c r="J236" s="5"/>
    </row>
    <row r="237" ht="15">
      <c r="J237" s="5"/>
    </row>
    <row r="238" ht="15">
      <c r="J238" s="5"/>
    </row>
    <row r="239" ht="15">
      <c r="J239" s="5"/>
    </row>
    <row r="240" ht="15">
      <c r="J240" s="5"/>
    </row>
    <row r="241" ht="15">
      <c r="J241" s="5"/>
    </row>
    <row r="242" ht="15">
      <c r="J242" s="5"/>
    </row>
    <row r="243" ht="15">
      <c r="J243" s="5"/>
    </row>
    <row r="244" ht="15">
      <c r="J244" s="5"/>
    </row>
    <row r="245" ht="15">
      <c r="J245" s="5"/>
    </row>
    <row r="246" ht="15">
      <c r="J246" s="5"/>
    </row>
    <row r="247" ht="15">
      <c r="J247" s="5"/>
    </row>
    <row r="248" ht="15">
      <c r="J248" s="5"/>
    </row>
    <row r="249" ht="15">
      <c r="J249" s="5"/>
    </row>
    <row r="250" ht="15">
      <c r="J250" s="5"/>
    </row>
    <row r="251" ht="15">
      <c r="J251" s="5"/>
    </row>
    <row r="252" ht="15">
      <c r="J252" s="5"/>
    </row>
    <row r="253" ht="15">
      <c r="J253" s="5"/>
    </row>
    <row r="254" ht="15">
      <c r="J254" s="5"/>
    </row>
    <row r="255" ht="15">
      <c r="J255" s="5"/>
    </row>
    <row r="256" ht="15">
      <c r="J256" s="5"/>
    </row>
    <row r="257" ht="15">
      <c r="J257" s="5"/>
    </row>
    <row r="258" ht="15">
      <c r="J258" s="5"/>
    </row>
    <row r="259" ht="15">
      <c r="J259" s="5"/>
    </row>
    <row r="260" ht="15">
      <c r="J260" s="5"/>
    </row>
    <row r="261" ht="15">
      <c r="J261" s="5"/>
    </row>
    <row r="262" ht="15">
      <c r="J262" s="5"/>
    </row>
    <row r="263" ht="15">
      <c r="J263" s="5"/>
    </row>
    <row r="264" ht="15">
      <c r="J264" s="5"/>
    </row>
    <row r="265" ht="15">
      <c r="J265" s="5"/>
    </row>
    <row r="266" ht="15">
      <c r="J266" s="5"/>
    </row>
    <row r="267" ht="15">
      <c r="J267" s="5"/>
    </row>
    <row r="268" ht="15">
      <c r="J268" s="5"/>
    </row>
    <row r="269" ht="15">
      <c r="J269" s="5"/>
    </row>
    <row r="270" ht="15">
      <c r="J270" s="5"/>
    </row>
    <row r="271" ht="15">
      <c r="J271" s="5"/>
    </row>
    <row r="272" ht="15">
      <c r="J272" s="5"/>
    </row>
    <row r="273" ht="15">
      <c r="J273" s="5"/>
    </row>
    <row r="274" ht="15">
      <c r="J274" s="5"/>
    </row>
    <row r="275" ht="15">
      <c r="J275" s="5"/>
    </row>
    <row r="276" ht="15">
      <c r="J276" s="5"/>
    </row>
    <row r="277" ht="15">
      <c r="J277" s="5"/>
    </row>
    <row r="278" ht="15">
      <c r="J278" s="5"/>
    </row>
    <row r="279" ht="15">
      <c r="J279" s="5"/>
    </row>
    <row r="280" ht="15">
      <c r="J280" s="5"/>
    </row>
    <row r="281" ht="15">
      <c r="J281" s="5"/>
    </row>
    <row r="282" ht="15">
      <c r="J282" s="5"/>
    </row>
    <row r="283" ht="15">
      <c r="J283" s="5"/>
    </row>
    <row r="284" ht="15">
      <c r="J284" s="5"/>
    </row>
    <row r="285" ht="15">
      <c r="J285" s="5"/>
    </row>
    <row r="286" ht="15">
      <c r="J286" s="5"/>
    </row>
    <row r="287" ht="15">
      <c r="J287" s="5"/>
    </row>
    <row r="288" ht="15">
      <c r="J288" s="5"/>
    </row>
    <row r="289" ht="15">
      <c r="J289" s="5"/>
    </row>
    <row r="290" ht="15">
      <c r="J290" s="5"/>
    </row>
    <row r="291" ht="15">
      <c r="J291" s="5"/>
    </row>
    <row r="292" ht="15">
      <c r="J292" s="5"/>
    </row>
    <row r="293" ht="15">
      <c r="J293" s="5"/>
    </row>
    <row r="294" ht="15">
      <c r="J294" s="5"/>
    </row>
    <row r="295" ht="15">
      <c r="J295" s="5"/>
    </row>
    <row r="296" ht="15">
      <c r="J296" s="5"/>
    </row>
    <row r="297" ht="15">
      <c r="J297" s="5"/>
    </row>
    <row r="298" ht="15">
      <c r="J298" s="5"/>
    </row>
    <row r="299" ht="15">
      <c r="J299" s="5"/>
    </row>
    <row r="300" ht="15">
      <c r="J300" s="5"/>
    </row>
    <row r="301" ht="15">
      <c r="J301" s="5"/>
    </row>
    <row r="302" ht="15">
      <c r="J302" s="5"/>
    </row>
    <row r="303" ht="15">
      <c r="J303" s="5"/>
    </row>
    <row r="304" ht="15">
      <c r="J304" s="5"/>
    </row>
    <row r="305" ht="15">
      <c r="J305" s="5"/>
    </row>
    <row r="306" ht="15">
      <c r="J306" s="5"/>
    </row>
    <row r="307" ht="15">
      <c r="J307" s="5"/>
    </row>
    <row r="308" ht="15">
      <c r="J308" s="5"/>
    </row>
    <row r="309" ht="15">
      <c r="J309" s="5"/>
    </row>
    <row r="310" ht="15">
      <c r="J310" s="5"/>
    </row>
    <row r="311" ht="15">
      <c r="J311" s="5"/>
    </row>
    <row r="312" ht="15">
      <c r="J312" s="5"/>
    </row>
    <row r="313" ht="15">
      <c r="J313" s="5"/>
    </row>
    <row r="314" ht="15">
      <c r="J314" s="5"/>
    </row>
    <row r="315" ht="15">
      <c r="J315" s="5"/>
    </row>
    <row r="316" ht="15">
      <c r="J316" s="5"/>
    </row>
    <row r="317" ht="15">
      <c r="J317" s="5"/>
    </row>
    <row r="318" ht="15">
      <c r="J318" s="5"/>
    </row>
    <row r="319" ht="15">
      <c r="J319" s="5"/>
    </row>
    <row r="320" ht="15">
      <c r="J320" s="5"/>
    </row>
    <row r="321" ht="15">
      <c r="J321" s="5"/>
    </row>
    <row r="322" ht="15">
      <c r="J322" s="5"/>
    </row>
    <row r="323" ht="15">
      <c r="J323" s="5"/>
    </row>
    <row r="324" ht="15">
      <c r="J324" s="5"/>
    </row>
    <row r="325" ht="15">
      <c r="J325" s="5"/>
    </row>
    <row r="326" ht="15">
      <c r="J326" s="5"/>
    </row>
    <row r="327" ht="15">
      <c r="J327" s="5"/>
    </row>
    <row r="328" ht="15">
      <c r="J328" s="5"/>
    </row>
    <row r="329" ht="15">
      <c r="J329" s="5"/>
    </row>
    <row r="330" ht="15">
      <c r="J330" s="5"/>
    </row>
    <row r="331" ht="15">
      <c r="J331" s="5"/>
    </row>
    <row r="332" ht="15">
      <c r="J332" s="5"/>
    </row>
    <row r="333" ht="15">
      <c r="J333" s="5"/>
    </row>
    <row r="334" ht="15">
      <c r="J334" s="5"/>
    </row>
    <row r="335" ht="15">
      <c r="J335" s="5"/>
    </row>
    <row r="336" ht="15">
      <c r="J336" s="5"/>
    </row>
    <row r="337" ht="15">
      <c r="J337" s="5"/>
    </row>
    <row r="338" ht="15">
      <c r="J338" s="5"/>
    </row>
    <row r="339" ht="15">
      <c r="J339" s="5"/>
    </row>
    <row r="340" ht="15">
      <c r="J340" s="5"/>
    </row>
    <row r="341" ht="15">
      <c r="J341" s="5"/>
    </row>
    <row r="342" ht="15">
      <c r="J342" s="5"/>
    </row>
    <row r="343" ht="15">
      <c r="J343" s="5"/>
    </row>
    <row r="344" ht="15">
      <c r="J344" s="5"/>
    </row>
    <row r="345" ht="15">
      <c r="J345" s="5"/>
    </row>
    <row r="346" ht="15">
      <c r="J346" s="5"/>
    </row>
    <row r="347" ht="15">
      <c r="J347" s="5"/>
    </row>
    <row r="348" ht="15">
      <c r="J348" s="5"/>
    </row>
    <row r="349" ht="15">
      <c r="J349" s="5"/>
    </row>
    <row r="350" ht="15">
      <c r="J350" s="5"/>
    </row>
    <row r="351" ht="15">
      <c r="J351" s="5"/>
    </row>
    <row r="352" ht="15">
      <c r="J352" s="5"/>
    </row>
    <row r="353" ht="15">
      <c r="J353" s="5"/>
    </row>
    <row r="354" ht="15">
      <c r="J354" s="5"/>
    </row>
    <row r="355" ht="15">
      <c r="J355" s="5"/>
    </row>
    <row r="356" ht="15">
      <c r="J356" s="5"/>
    </row>
    <row r="357" ht="15">
      <c r="J357" s="5"/>
    </row>
    <row r="358" ht="15">
      <c r="J358" s="5"/>
    </row>
    <row r="359" ht="15">
      <c r="J359" s="5"/>
    </row>
    <row r="360" ht="15">
      <c r="J360" s="5"/>
    </row>
    <row r="361" ht="15">
      <c r="J361" s="5"/>
    </row>
    <row r="362" ht="15">
      <c r="J362" s="5"/>
    </row>
    <row r="363" ht="15">
      <c r="J363" s="5"/>
    </row>
    <row r="364" ht="15">
      <c r="J364" s="5"/>
    </row>
    <row r="365" ht="15">
      <c r="J365" s="5"/>
    </row>
    <row r="366" ht="15">
      <c r="J366" s="5"/>
    </row>
    <row r="367" ht="15">
      <c r="J367" s="5"/>
    </row>
    <row r="368" ht="15">
      <c r="J368" s="5"/>
    </row>
    <row r="369" ht="15">
      <c r="J369" s="5"/>
    </row>
    <row r="370" ht="15">
      <c r="J370" s="5"/>
    </row>
    <row r="371" ht="15">
      <c r="J371" s="5"/>
    </row>
    <row r="372" ht="15">
      <c r="J372" s="5"/>
    </row>
    <row r="373" ht="15">
      <c r="J373" s="5"/>
    </row>
    <row r="374" ht="15">
      <c r="J374" s="5"/>
    </row>
    <row r="375" ht="15">
      <c r="J375" s="5"/>
    </row>
    <row r="376" ht="15">
      <c r="J376" s="5"/>
    </row>
    <row r="377" ht="15">
      <c r="J377" s="5"/>
    </row>
    <row r="378" ht="15">
      <c r="J378" s="5"/>
    </row>
    <row r="379" ht="15">
      <c r="J379" s="5"/>
    </row>
    <row r="380" ht="15">
      <c r="J380" s="5"/>
    </row>
    <row r="381" ht="15">
      <c r="J381" s="5"/>
    </row>
    <row r="382" ht="15">
      <c r="J382" s="5"/>
    </row>
    <row r="383" ht="15">
      <c r="J383" s="5"/>
    </row>
    <row r="384" ht="15">
      <c r="J384" s="5"/>
    </row>
    <row r="385" ht="15">
      <c r="J385" s="5"/>
    </row>
    <row r="386" ht="15">
      <c r="J386" s="5"/>
    </row>
    <row r="387" ht="15">
      <c r="J387" s="5"/>
    </row>
    <row r="388" ht="15">
      <c r="J388" s="5"/>
    </row>
    <row r="389" ht="15">
      <c r="J389" s="5"/>
    </row>
    <row r="390" ht="15">
      <c r="J390" s="5"/>
    </row>
    <row r="391" ht="15">
      <c r="J391" s="5"/>
    </row>
    <row r="392" ht="15">
      <c r="J392" s="5"/>
    </row>
    <row r="393" ht="15">
      <c r="J393" s="5"/>
    </row>
    <row r="394" ht="15">
      <c r="J394" s="5"/>
    </row>
    <row r="395" ht="15">
      <c r="J395" s="5"/>
    </row>
    <row r="396" ht="15">
      <c r="J396" s="5"/>
    </row>
    <row r="397" ht="15">
      <c r="J397" s="5"/>
    </row>
    <row r="398" ht="15">
      <c r="J398" s="5"/>
    </row>
    <row r="399" ht="15">
      <c r="J399" s="5"/>
    </row>
    <row r="400" ht="15">
      <c r="J400" s="5"/>
    </row>
    <row r="401" ht="15">
      <c r="J401" s="5"/>
    </row>
    <row r="402" ht="15">
      <c r="J402" s="5"/>
    </row>
    <row r="403" ht="15">
      <c r="J403" s="5"/>
    </row>
    <row r="404" ht="15">
      <c r="J404" s="5"/>
    </row>
    <row r="405" ht="15">
      <c r="J405" s="5"/>
    </row>
    <row r="406" ht="15">
      <c r="J406" s="5"/>
    </row>
    <row r="407" ht="15">
      <c r="J407" s="5"/>
    </row>
    <row r="408" ht="15">
      <c r="J408" s="5"/>
    </row>
    <row r="409" ht="15">
      <c r="J409" s="5"/>
    </row>
    <row r="410" ht="15">
      <c r="J410" s="5"/>
    </row>
    <row r="411" ht="15">
      <c r="J411" s="5"/>
    </row>
    <row r="412" ht="15">
      <c r="J412" s="5"/>
    </row>
    <row r="413" ht="15">
      <c r="J413" s="5"/>
    </row>
    <row r="414" ht="15">
      <c r="J414" s="5"/>
    </row>
    <row r="415" ht="15">
      <c r="J415" s="5"/>
    </row>
    <row r="416" ht="15">
      <c r="J416" s="5"/>
    </row>
    <row r="417" ht="15">
      <c r="J417" s="5"/>
    </row>
    <row r="418" ht="15">
      <c r="J418" s="5"/>
    </row>
    <row r="419" ht="15">
      <c r="J419" s="5"/>
    </row>
    <row r="420" ht="15">
      <c r="J420" s="5"/>
    </row>
    <row r="421" ht="15">
      <c r="J421" s="5"/>
    </row>
    <row r="422" ht="15">
      <c r="J422" s="5"/>
    </row>
    <row r="423" ht="15">
      <c r="J423" s="5"/>
    </row>
    <row r="424" ht="15">
      <c r="J424" s="5"/>
    </row>
    <row r="425" ht="15">
      <c r="J425" s="5"/>
    </row>
    <row r="426" ht="15">
      <c r="J426" s="5"/>
    </row>
    <row r="427" ht="15">
      <c r="J427" s="5"/>
    </row>
    <row r="428" ht="15">
      <c r="J428" s="5"/>
    </row>
    <row r="429" ht="15">
      <c r="J429" s="5"/>
    </row>
    <row r="430" ht="15">
      <c r="J430" s="5"/>
    </row>
    <row r="431" ht="15">
      <c r="J431" s="5"/>
    </row>
    <row r="432" ht="15">
      <c r="J432" s="5"/>
    </row>
    <row r="433" ht="15">
      <c r="J433" s="5"/>
    </row>
    <row r="434" ht="15">
      <c r="J434" s="5"/>
    </row>
    <row r="435" ht="15">
      <c r="J435" s="5"/>
    </row>
    <row r="436" ht="15">
      <c r="J436" s="5"/>
    </row>
    <row r="437" ht="15">
      <c r="J437" s="5"/>
    </row>
    <row r="438" ht="15">
      <c r="J438" s="5"/>
    </row>
    <row r="439" ht="15">
      <c r="J439" s="5"/>
    </row>
    <row r="440" ht="15">
      <c r="J440" s="5"/>
    </row>
    <row r="441" ht="15">
      <c r="J441" s="5"/>
    </row>
    <row r="442" ht="15">
      <c r="J442" s="5"/>
    </row>
    <row r="443" ht="15">
      <c r="J443" s="5"/>
    </row>
    <row r="444" ht="15">
      <c r="J444" s="5"/>
    </row>
    <row r="445" ht="15">
      <c r="J445" s="5"/>
    </row>
    <row r="446" ht="15">
      <c r="J446" s="5"/>
    </row>
    <row r="447" ht="15">
      <c r="J447" s="5"/>
    </row>
    <row r="448" ht="15">
      <c r="J448" s="5"/>
    </row>
    <row r="449" ht="15">
      <c r="J449" s="5"/>
    </row>
    <row r="450" ht="15">
      <c r="J450" s="5"/>
    </row>
    <row r="451" ht="15">
      <c r="J451" s="5"/>
    </row>
    <row r="452" ht="15">
      <c r="J452" s="5"/>
    </row>
    <row r="453" ht="15">
      <c r="J453" s="5"/>
    </row>
    <row r="454" ht="15">
      <c r="J454" s="5"/>
    </row>
    <row r="455" ht="15">
      <c r="J455" s="5"/>
    </row>
    <row r="456" ht="15">
      <c r="J456" s="5"/>
    </row>
    <row r="457" ht="15">
      <c r="J457" s="5"/>
    </row>
    <row r="458" ht="15">
      <c r="J458" s="5"/>
    </row>
    <row r="459" ht="15">
      <c r="J459" s="5"/>
    </row>
    <row r="460" ht="15">
      <c r="J460" s="5"/>
    </row>
    <row r="461" ht="15">
      <c r="J461" s="5"/>
    </row>
    <row r="462" ht="15">
      <c r="J462" s="5"/>
    </row>
    <row r="463" ht="15">
      <c r="J463" s="5"/>
    </row>
    <row r="464" ht="15">
      <c r="J464" s="5"/>
    </row>
    <row r="465" ht="15">
      <c r="J465" s="5"/>
    </row>
    <row r="466" ht="15">
      <c r="J466" s="5"/>
    </row>
    <row r="467" ht="15">
      <c r="J467" s="5"/>
    </row>
    <row r="468" ht="15">
      <c r="J468" s="5"/>
    </row>
    <row r="469" ht="15">
      <c r="J469" s="5"/>
    </row>
    <row r="470" ht="15">
      <c r="J470" s="5"/>
    </row>
    <row r="471" ht="15">
      <c r="J471" s="5"/>
    </row>
    <row r="472" ht="15">
      <c r="J472" s="5"/>
    </row>
    <row r="473" ht="15">
      <c r="J473" s="5"/>
    </row>
    <row r="474" ht="15">
      <c r="J474" s="5"/>
    </row>
    <row r="475" ht="15">
      <c r="J475" s="5"/>
    </row>
    <row r="476" ht="15">
      <c r="J476" s="5"/>
    </row>
    <row r="477" ht="15">
      <c r="J477" s="5"/>
    </row>
    <row r="478" ht="15">
      <c r="J478" s="5"/>
    </row>
    <row r="479" ht="15">
      <c r="J479" s="5"/>
    </row>
    <row r="480" ht="15">
      <c r="J480" s="5"/>
    </row>
    <row r="481" ht="15">
      <c r="J481" s="5"/>
    </row>
    <row r="482" ht="15">
      <c r="J482" s="5"/>
    </row>
    <row r="483" ht="15">
      <c r="J483" s="5"/>
    </row>
    <row r="484" ht="15">
      <c r="J484" s="5"/>
    </row>
    <row r="485" ht="15">
      <c r="J485" s="5"/>
    </row>
    <row r="486" ht="15">
      <c r="J486" s="5"/>
    </row>
    <row r="487" ht="15">
      <c r="J487" s="5"/>
    </row>
    <row r="488" ht="15">
      <c r="J488" s="5"/>
    </row>
    <row r="489" ht="15">
      <c r="J489" s="5"/>
    </row>
    <row r="490" ht="15">
      <c r="J490" s="5"/>
    </row>
    <row r="491" ht="15">
      <c r="J491" s="5"/>
    </row>
    <row r="492" ht="15">
      <c r="J492" s="5"/>
    </row>
    <row r="493" ht="15">
      <c r="J493" s="5"/>
    </row>
    <row r="494" ht="15">
      <c r="J494" s="5"/>
    </row>
    <row r="495" ht="15">
      <c r="J495" s="5"/>
    </row>
    <row r="496" ht="15">
      <c r="J496" s="5"/>
    </row>
    <row r="497" ht="15">
      <c r="J497" s="5"/>
    </row>
    <row r="498" ht="15">
      <c r="J498" s="5"/>
    </row>
    <row r="499" ht="15">
      <c r="J499" s="5"/>
    </row>
    <row r="500" ht="15">
      <c r="J500" s="5"/>
    </row>
    <row r="501" ht="15">
      <c r="J501" s="5"/>
    </row>
    <row r="502" ht="15">
      <c r="J502" s="5"/>
    </row>
    <row r="503" ht="15">
      <c r="J503" s="5"/>
    </row>
    <row r="504" ht="15">
      <c r="J504" s="5"/>
    </row>
    <row r="505" ht="15">
      <c r="J505" s="5"/>
    </row>
    <row r="506" ht="15">
      <c r="J506" s="5"/>
    </row>
    <row r="507" ht="15">
      <c r="J507" s="5"/>
    </row>
    <row r="508" ht="15">
      <c r="J508" s="5"/>
    </row>
    <row r="509" ht="15">
      <c r="J509" s="5"/>
    </row>
    <row r="510" ht="15">
      <c r="J510" s="5"/>
    </row>
    <row r="511" ht="15">
      <c r="J511" s="5"/>
    </row>
    <row r="512" ht="15">
      <c r="J512" s="5"/>
    </row>
    <row r="513" ht="15">
      <c r="J513" s="5"/>
    </row>
    <row r="514" ht="15">
      <c r="J514" s="5"/>
    </row>
    <row r="515" ht="15">
      <c r="J515" s="5"/>
    </row>
    <row r="516" ht="15">
      <c r="J516" s="5"/>
    </row>
    <row r="517" ht="15">
      <c r="J517" s="5"/>
    </row>
    <row r="518" ht="15">
      <c r="J518" s="5"/>
    </row>
    <row r="519" ht="15">
      <c r="J519" s="5"/>
    </row>
    <row r="520" ht="15">
      <c r="J520" s="5"/>
    </row>
    <row r="521" ht="15">
      <c r="J521" s="5"/>
    </row>
    <row r="522" ht="15">
      <c r="J522" s="5"/>
    </row>
    <row r="523" ht="15">
      <c r="J523" s="5"/>
    </row>
    <row r="524" ht="15">
      <c r="J524" s="5"/>
    </row>
    <row r="525" ht="15">
      <c r="J525" s="5"/>
    </row>
    <row r="526" ht="15">
      <c r="J526" s="5"/>
    </row>
    <row r="527" ht="15">
      <c r="J527" s="5"/>
    </row>
    <row r="528" ht="15">
      <c r="J528" s="5"/>
    </row>
    <row r="529" ht="15">
      <c r="J529" s="5"/>
    </row>
    <row r="530" ht="15">
      <c r="J530" s="5"/>
    </row>
    <row r="531" ht="15">
      <c r="J531" s="5"/>
    </row>
    <row r="532" ht="15">
      <c r="J532" s="5"/>
    </row>
    <row r="533" ht="15">
      <c r="J533" s="5"/>
    </row>
    <row r="534" ht="15">
      <c r="J534" s="5"/>
    </row>
    <row r="535" ht="15">
      <c r="J535" s="5"/>
    </row>
    <row r="536" ht="15">
      <c r="J536" s="5"/>
    </row>
    <row r="537" ht="15">
      <c r="J537" s="5"/>
    </row>
    <row r="538" ht="15">
      <c r="J538" s="5"/>
    </row>
    <row r="539" ht="15">
      <c r="J539" s="5"/>
    </row>
    <row r="540" ht="15">
      <c r="J540" s="5"/>
    </row>
    <row r="541" ht="15">
      <c r="J541" s="5"/>
    </row>
    <row r="542" ht="15">
      <c r="J542" s="5"/>
    </row>
    <row r="543" ht="15">
      <c r="J543" s="5"/>
    </row>
    <row r="544" ht="15">
      <c r="J544" s="5"/>
    </row>
    <row r="545" ht="15">
      <c r="J545" s="5"/>
    </row>
    <row r="546" ht="15">
      <c r="J546" s="5"/>
    </row>
    <row r="547" ht="15">
      <c r="J547" s="5"/>
    </row>
    <row r="548" ht="15">
      <c r="J548" s="5"/>
    </row>
    <row r="549" ht="15">
      <c r="J549" s="5"/>
    </row>
    <row r="550" ht="15">
      <c r="J550" s="5"/>
    </row>
    <row r="551" ht="15">
      <c r="J551" s="5"/>
    </row>
    <row r="552" ht="15">
      <c r="J552" s="5"/>
    </row>
    <row r="553" ht="15">
      <c r="J553" s="5"/>
    </row>
    <row r="554" ht="15">
      <c r="J554" s="5"/>
    </row>
    <row r="555" ht="15">
      <c r="J555" s="5"/>
    </row>
    <row r="556" ht="15">
      <c r="J556" s="5"/>
    </row>
    <row r="557" ht="15">
      <c r="J557" s="5"/>
    </row>
    <row r="558" ht="15">
      <c r="J558" s="5"/>
    </row>
    <row r="559" ht="15">
      <c r="J559" s="5"/>
    </row>
    <row r="560" ht="15">
      <c r="J560" s="5"/>
    </row>
    <row r="561" ht="15">
      <c r="J561" s="5"/>
    </row>
    <row r="562" ht="15">
      <c r="J562" s="5"/>
    </row>
    <row r="563" ht="15">
      <c r="J563" s="5"/>
    </row>
    <row r="564" ht="15">
      <c r="J564" s="5"/>
    </row>
    <row r="565" ht="15">
      <c r="J565" s="5"/>
    </row>
    <row r="566" ht="15">
      <c r="J566" s="5"/>
    </row>
    <row r="567" ht="15">
      <c r="J567" s="5"/>
    </row>
    <row r="568" ht="15">
      <c r="J568" s="5"/>
    </row>
    <row r="569" ht="15">
      <c r="J569" s="5"/>
    </row>
    <row r="570" ht="15">
      <c r="J570" s="5"/>
    </row>
    <row r="571" ht="15">
      <c r="J571" s="5"/>
    </row>
    <row r="572" ht="15">
      <c r="J572" s="5"/>
    </row>
    <row r="573" ht="15">
      <c r="J573" s="5"/>
    </row>
    <row r="574" ht="15">
      <c r="J574" s="5"/>
    </row>
    <row r="575" ht="15">
      <c r="J575" s="5"/>
    </row>
    <row r="576" ht="15">
      <c r="J576" s="5"/>
    </row>
    <row r="577" ht="15">
      <c r="J577" s="5"/>
    </row>
    <row r="578" ht="15">
      <c r="J578" s="5"/>
    </row>
    <row r="579" ht="15">
      <c r="J579" s="5"/>
    </row>
    <row r="580" ht="15">
      <c r="J580" s="5"/>
    </row>
    <row r="581" ht="15">
      <c r="J581" s="5"/>
    </row>
    <row r="582" ht="15">
      <c r="J582" s="5"/>
    </row>
    <row r="583" ht="15">
      <c r="J583" s="5"/>
    </row>
    <row r="584" ht="15">
      <c r="J584" s="5"/>
    </row>
    <row r="585" ht="15">
      <c r="J585" s="5"/>
    </row>
    <row r="586" ht="15">
      <c r="J586" s="5"/>
    </row>
    <row r="587" ht="15">
      <c r="J587" s="5"/>
    </row>
    <row r="588" ht="15">
      <c r="J588" s="5"/>
    </row>
    <row r="589" ht="15">
      <c r="J589" s="5"/>
    </row>
    <row r="590" ht="15">
      <c r="J590" s="5"/>
    </row>
    <row r="591" ht="15">
      <c r="J591" s="5"/>
    </row>
    <row r="592" ht="15">
      <c r="J592" s="5"/>
    </row>
    <row r="593" ht="15">
      <c r="J593" s="5"/>
    </row>
    <row r="594" ht="15">
      <c r="J594" s="5"/>
    </row>
    <row r="595" ht="15">
      <c r="J595" s="5"/>
    </row>
    <row r="596" ht="15">
      <c r="J596" s="5"/>
    </row>
    <row r="597" ht="15">
      <c r="J597" s="5"/>
    </row>
    <row r="598" ht="15">
      <c r="J598" s="5"/>
    </row>
    <row r="599" ht="15">
      <c r="J599" s="5"/>
    </row>
    <row r="600" ht="15">
      <c r="J600" s="5"/>
    </row>
    <row r="601" ht="15">
      <c r="J601" s="5"/>
    </row>
    <row r="602" ht="15">
      <c r="J602" s="5"/>
    </row>
    <row r="603" ht="15">
      <c r="J603" s="5"/>
    </row>
    <row r="604" ht="15">
      <c r="J604" s="5"/>
    </row>
    <row r="605" ht="15">
      <c r="J605" s="5"/>
    </row>
    <row r="606" ht="15">
      <c r="J606" s="5"/>
    </row>
    <row r="607" ht="15">
      <c r="J607" s="5"/>
    </row>
    <row r="608" ht="15">
      <c r="J608" s="5"/>
    </row>
    <row r="609" ht="15">
      <c r="J609" s="5"/>
    </row>
    <row r="610" ht="15">
      <c r="J610" s="5"/>
    </row>
    <row r="611" ht="15">
      <c r="J611" s="5"/>
    </row>
    <row r="612" ht="15">
      <c r="J612" s="5"/>
    </row>
    <row r="613" ht="15">
      <c r="J613" s="5"/>
    </row>
    <row r="614" ht="15">
      <c r="J614" s="5"/>
    </row>
    <row r="615" ht="15">
      <c r="J615" s="5"/>
    </row>
    <row r="616" ht="15">
      <c r="J616" s="5"/>
    </row>
    <row r="617" ht="15">
      <c r="J617" s="5"/>
    </row>
    <row r="618" ht="15">
      <c r="J618" s="5"/>
    </row>
    <row r="619" ht="15">
      <c r="J619" s="5"/>
    </row>
    <row r="620" ht="15">
      <c r="J620" s="5"/>
    </row>
    <row r="621" ht="15">
      <c r="J621" s="5"/>
    </row>
    <row r="622" ht="15">
      <c r="J622" s="5"/>
    </row>
    <row r="623" ht="15">
      <c r="J623" s="5"/>
    </row>
    <row r="624" ht="15">
      <c r="J624" s="5"/>
    </row>
    <row r="625" ht="15">
      <c r="J625" s="5"/>
    </row>
    <row r="626" ht="15">
      <c r="J626" s="5"/>
    </row>
    <row r="627" ht="15">
      <c r="J627" s="5"/>
    </row>
    <row r="628" ht="15">
      <c r="J628" s="5"/>
    </row>
    <row r="629" ht="15">
      <c r="J629" s="5"/>
    </row>
    <row r="630" ht="15">
      <c r="J630" s="5"/>
    </row>
    <row r="631" ht="15">
      <c r="J631" s="5"/>
    </row>
    <row r="632" ht="15">
      <c r="J632" s="5"/>
    </row>
    <row r="633" ht="15">
      <c r="J633" s="5"/>
    </row>
    <row r="634" ht="15">
      <c r="J634" s="5"/>
    </row>
    <row r="635" ht="15">
      <c r="J635" s="5"/>
    </row>
    <row r="636" ht="15">
      <c r="J636" s="5"/>
    </row>
    <row r="637" ht="15">
      <c r="J637" s="5"/>
    </row>
    <row r="638" ht="15">
      <c r="J638" s="5"/>
    </row>
    <row r="639" ht="15">
      <c r="J639" s="5"/>
    </row>
    <row r="640" ht="15">
      <c r="J640" s="5"/>
    </row>
    <row r="641" ht="15">
      <c r="J641" s="5"/>
    </row>
    <row r="642" ht="15">
      <c r="J642" s="5"/>
    </row>
    <row r="643" ht="15">
      <c r="J643" s="5"/>
    </row>
    <row r="644" ht="15">
      <c r="J644" s="5"/>
    </row>
    <row r="645" ht="15">
      <c r="J645" s="5"/>
    </row>
    <row r="646" ht="15">
      <c r="J646" s="5"/>
    </row>
    <row r="647" ht="15">
      <c r="J647" s="5"/>
    </row>
    <row r="648" ht="15">
      <c r="J648" s="5"/>
    </row>
    <row r="649" ht="15">
      <c r="J649" s="5"/>
    </row>
    <row r="650" ht="15">
      <c r="J650" s="5"/>
    </row>
    <row r="651" ht="15">
      <c r="J651" s="5"/>
    </row>
    <row r="652" ht="15">
      <c r="J652" s="5"/>
    </row>
    <row r="653" ht="15">
      <c r="J653" s="5"/>
    </row>
    <row r="654" ht="15">
      <c r="J654" s="5"/>
    </row>
    <row r="655" ht="15">
      <c r="J655" s="5"/>
    </row>
    <row r="656" ht="15">
      <c r="J656" s="5"/>
    </row>
    <row r="657" ht="15">
      <c r="J657" s="5"/>
    </row>
    <row r="658" ht="15">
      <c r="J658" s="5"/>
    </row>
    <row r="659" ht="15">
      <c r="J659" s="5"/>
    </row>
    <row r="660" ht="15">
      <c r="J660" s="5"/>
    </row>
    <row r="661" ht="15">
      <c r="J661" s="5"/>
    </row>
    <row r="662" ht="15">
      <c r="J662" s="5"/>
    </row>
    <row r="663" ht="15">
      <c r="J663" s="5"/>
    </row>
    <row r="664" ht="15">
      <c r="J664" s="5"/>
    </row>
    <row r="665" ht="15">
      <c r="J665" s="5"/>
    </row>
    <row r="666" ht="15">
      <c r="J666" s="5"/>
    </row>
    <row r="667" ht="15">
      <c r="J667" s="5"/>
    </row>
    <row r="668" ht="15">
      <c r="J668" s="5"/>
    </row>
    <row r="669" ht="15">
      <c r="J669" s="5"/>
    </row>
    <row r="670" ht="15">
      <c r="J670" s="5"/>
    </row>
    <row r="671" ht="15">
      <c r="J671" s="5"/>
    </row>
    <row r="672" ht="15">
      <c r="J672" s="5"/>
    </row>
    <row r="673" ht="15">
      <c r="J673" s="5"/>
    </row>
    <row r="674" ht="15">
      <c r="J674" s="5"/>
    </row>
    <row r="675" ht="15">
      <c r="J675" s="5"/>
    </row>
    <row r="676" ht="15">
      <c r="J676" s="5"/>
    </row>
    <row r="677" ht="15">
      <c r="J677" s="5"/>
    </row>
    <row r="678" ht="15">
      <c r="J678" s="5"/>
    </row>
    <row r="679" ht="15">
      <c r="J679" s="5"/>
    </row>
    <row r="680" ht="15">
      <c r="J680" s="5"/>
    </row>
    <row r="681" ht="15">
      <c r="J681" s="5"/>
    </row>
    <row r="682" ht="15">
      <c r="J682" s="5"/>
    </row>
    <row r="683" ht="15">
      <c r="J683" s="5"/>
    </row>
    <row r="684" ht="15">
      <c r="J684" s="5"/>
    </row>
    <row r="685" ht="15">
      <c r="J685" s="5"/>
    </row>
    <row r="686" ht="15">
      <c r="J686" s="5"/>
    </row>
    <row r="687" ht="15">
      <c r="J687" s="5"/>
    </row>
    <row r="688" ht="15">
      <c r="J688" s="5"/>
    </row>
    <row r="689" ht="15">
      <c r="J689" s="5"/>
    </row>
    <row r="690" ht="15">
      <c r="J690" s="5"/>
    </row>
    <row r="691" ht="15">
      <c r="J691" s="5"/>
    </row>
    <row r="692" ht="15">
      <c r="J692" s="5"/>
    </row>
    <row r="693" ht="15">
      <c r="J693" s="5"/>
    </row>
    <row r="694" ht="15">
      <c r="J694" s="5"/>
    </row>
    <row r="695" ht="15">
      <c r="J695" s="5"/>
    </row>
    <row r="696" ht="15">
      <c r="J696" s="5"/>
    </row>
    <row r="697" ht="15">
      <c r="J697" s="5"/>
    </row>
    <row r="698" ht="15">
      <c r="J698" s="5"/>
    </row>
    <row r="699" ht="15">
      <c r="J699" s="5"/>
    </row>
    <row r="700" ht="15">
      <c r="J700" s="5"/>
    </row>
    <row r="701" ht="15">
      <c r="J701" s="5"/>
    </row>
    <row r="702" ht="15">
      <c r="J702" s="5"/>
    </row>
    <row r="703" ht="15">
      <c r="J703" s="5"/>
    </row>
    <row r="704" ht="15">
      <c r="J704" s="5"/>
    </row>
    <row r="705" ht="15">
      <c r="J705" s="5"/>
    </row>
    <row r="706" ht="15">
      <c r="J706" s="5"/>
    </row>
    <row r="707" ht="15">
      <c r="J707" s="5"/>
    </row>
    <row r="708" ht="15">
      <c r="J708" s="5"/>
    </row>
    <row r="709" ht="15">
      <c r="J709" s="5"/>
    </row>
    <row r="710" ht="15">
      <c r="J710" s="5"/>
    </row>
    <row r="711" ht="15">
      <c r="J711" s="5"/>
    </row>
    <row r="712" ht="15">
      <c r="J712" s="5"/>
    </row>
    <row r="713" ht="15">
      <c r="J713" s="5"/>
    </row>
    <row r="714" ht="15">
      <c r="J714" s="5"/>
    </row>
    <row r="715" ht="15">
      <c r="J715" s="5"/>
    </row>
    <row r="716" ht="15">
      <c r="J716" s="5"/>
    </row>
    <row r="717" ht="15">
      <c r="J717" s="5"/>
    </row>
    <row r="718" ht="15">
      <c r="J718" s="5"/>
    </row>
    <row r="719" ht="15">
      <c r="J719" s="5"/>
    </row>
    <row r="720" ht="15">
      <c r="J720" s="5"/>
    </row>
    <row r="721" ht="15">
      <c r="J721" s="5"/>
    </row>
    <row r="722" ht="15">
      <c r="J722" s="5"/>
    </row>
    <row r="723" ht="15">
      <c r="J723" s="5"/>
    </row>
    <row r="724" ht="15">
      <c r="J724" s="5"/>
    </row>
    <row r="725" ht="15">
      <c r="J725" s="5"/>
    </row>
    <row r="726" ht="15">
      <c r="J726" s="5"/>
    </row>
    <row r="727" ht="15">
      <c r="J727" s="5"/>
    </row>
    <row r="728" ht="15">
      <c r="J728" s="5"/>
    </row>
    <row r="729" ht="15">
      <c r="J729" s="5"/>
    </row>
    <row r="730" ht="15">
      <c r="J730" s="5"/>
    </row>
    <row r="731" ht="15">
      <c r="J731" s="5"/>
    </row>
    <row r="732" ht="15">
      <c r="J732" s="5"/>
    </row>
    <row r="733" ht="15">
      <c r="J733" s="5"/>
    </row>
    <row r="734" ht="15">
      <c r="J734" s="5"/>
    </row>
    <row r="735" ht="15">
      <c r="J735" s="5"/>
    </row>
    <row r="736" ht="15">
      <c r="J736" s="5"/>
    </row>
    <row r="737" ht="15">
      <c r="J737" s="5"/>
    </row>
    <row r="738" ht="15">
      <c r="J738" s="5"/>
    </row>
    <row r="739" ht="15">
      <c r="J739" s="5"/>
    </row>
    <row r="740" ht="15">
      <c r="J740" s="5"/>
    </row>
    <row r="741" ht="15">
      <c r="J741" s="5"/>
    </row>
    <row r="742" ht="15">
      <c r="J742" s="5"/>
    </row>
    <row r="743" ht="15">
      <c r="J743" s="5"/>
    </row>
    <row r="744" ht="15">
      <c r="J744" s="5"/>
    </row>
    <row r="745" ht="15">
      <c r="J745" s="5"/>
    </row>
    <row r="746" ht="15">
      <c r="J746" s="5"/>
    </row>
    <row r="747" ht="15">
      <c r="J747" s="5"/>
    </row>
    <row r="748" ht="15">
      <c r="J748" s="5"/>
    </row>
    <row r="749" ht="15">
      <c r="J749" s="5"/>
    </row>
    <row r="750" ht="15">
      <c r="J750" s="5"/>
    </row>
    <row r="751" ht="15">
      <c r="J751" s="5"/>
    </row>
    <row r="752" ht="15">
      <c r="J752" s="5"/>
    </row>
    <row r="753" ht="15">
      <c r="J753" s="5"/>
    </row>
    <row r="754" ht="15">
      <c r="J754" s="5"/>
    </row>
    <row r="755" ht="15">
      <c r="J755" s="5"/>
    </row>
    <row r="756" ht="15">
      <c r="J756" s="5"/>
    </row>
    <row r="757" ht="15">
      <c r="J757" s="5"/>
    </row>
    <row r="758" ht="15">
      <c r="J758" s="5"/>
    </row>
    <row r="759" ht="15">
      <c r="J759" s="5"/>
    </row>
    <row r="760" ht="15">
      <c r="J760" s="5"/>
    </row>
    <row r="761" ht="15">
      <c r="J761" s="5"/>
    </row>
    <row r="762" ht="15">
      <c r="J762" s="5"/>
    </row>
    <row r="763" ht="15">
      <c r="J763" s="5"/>
    </row>
    <row r="764" ht="15">
      <c r="J764" s="5"/>
    </row>
    <row r="765" ht="15">
      <c r="J765" s="5"/>
    </row>
    <row r="766" ht="15">
      <c r="J766" s="5"/>
    </row>
    <row r="767" ht="15">
      <c r="J767" s="5"/>
    </row>
    <row r="768" ht="15">
      <c r="J768" s="5"/>
    </row>
    <row r="769" ht="15">
      <c r="J769" s="5"/>
    </row>
    <row r="770" ht="15">
      <c r="J770" s="5"/>
    </row>
    <row r="771" ht="15">
      <c r="J771" s="5"/>
    </row>
    <row r="772" ht="15">
      <c r="J772" s="5"/>
    </row>
    <row r="773" ht="15">
      <c r="J773" s="5"/>
    </row>
    <row r="774" ht="15">
      <c r="J774" s="5"/>
    </row>
    <row r="775" ht="15">
      <c r="J775" s="5"/>
    </row>
    <row r="776" ht="15">
      <c r="J776" s="5"/>
    </row>
    <row r="777" ht="15">
      <c r="J777" s="5"/>
    </row>
    <row r="778" ht="15">
      <c r="J778" s="5"/>
    </row>
    <row r="779" ht="15">
      <c r="J779" s="5"/>
    </row>
    <row r="780" ht="15">
      <c r="J780" s="5"/>
    </row>
    <row r="781" ht="15">
      <c r="J781" s="5"/>
    </row>
    <row r="782" ht="15">
      <c r="J782" s="5"/>
    </row>
    <row r="783" ht="15">
      <c r="J783" s="5"/>
    </row>
    <row r="784" ht="15">
      <c r="J784" s="5"/>
    </row>
    <row r="785" ht="15">
      <c r="J785" s="5"/>
    </row>
    <row r="786" ht="15">
      <c r="J786" s="5"/>
    </row>
    <row r="787" ht="15">
      <c r="J787" s="5"/>
    </row>
    <row r="788" ht="15">
      <c r="J788" s="5"/>
    </row>
    <row r="789" ht="15">
      <c r="J789" s="5"/>
    </row>
    <row r="790" ht="15">
      <c r="J790" s="5"/>
    </row>
    <row r="791" ht="15">
      <c r="J791" s="5"/>
    </row>
    <row r="792" ht="15">
      <c r="J792" s="5"/>
    </row>
    <row r="793" ht="15">
      <c r="J793" s="5"/>
    </row>
    <row r="794" ht="15">
      <c r="J794" s="5"/>
    </row>
    <row r="795" ht="15">
      <c r="J795" s="5"/>
    </row>
    <row r="796" ht="15">
      <c r="J796" s="5"/>
    </row>
    <row r="797" ht="15">
      <c r="J797" s="5"/>
    </row>
    <row r="798" ht="15">
      <c r="J798" s="5"/>
    </row>
    <row r="799" ht="15">
      <c r="J799" s="5"/>
    </row>
    <row r="800" ht="15">
      <c r="J800" s="5"/>
    </row>
    <row r="801" ht="15">
      <c r="J801" s="5"/>
    </row>
    <row r="802" ht="15">
      <c r="J802" s="5"/>
    </row>
    <row r="803" ht="15">
      <c r="J803" s="5"/>
    </row>
    <row r="804" ht="15">
      <c r="J804" s="5"/>
    </row>
    <row r="805" ht="15">
      <c r="J805" s="5"/>
    </row>
    <row r="806" ht="15">
      <c r="J806" s="5"/>
    </row>
    <row r="807" ht="15">
      <c r="J807" s="5"/>
    </row>
    <row r="808" ht="15">
      <c r="J808" s="5"/>
    </row>
    <row r="809" ht="15">
      <c r="J809" s="5"/>
    </row>
    <row r="810" ht="15">
      <c r="J810" s="5"/>
    </row>
    <row r="811" ht="15">
      <c r="J811" s="5"/>
    </row>
    <row r="812" ht="15">
      <c r="J812" s="5"/>
    </row>
    <row r="813" ht="15">
      <c r="J813" s="5"/>
    </row>
    <row r="814" ht="15">
      <c r="J814" s="5"/>
    </row>
    <row r="815" ht="15">
      <c r="J815" s="5"/>
    </row>
    <row r="816" ht="15">
      <c r="J816" s="5"/>
    </row>
    <row r="817" ht="15">
      <c r="J817" s="5"/>
    </row>
    <row r="818" ht="15">
      <c r="J818" s="5"/>
    </row>
    <row r="819" ht="15">
      <c r="J819" s="5"/>
    </row>
    <row r="820" ht="15">
      <c r="J820" s="5"/>
    </row>
    <row r="821" ht="15">
      <c r="J821" s="5"/>
    </row>
    <row r="822" ht="15">
      <c r="J822" s="5"/>
    </row>
    <row r="823" ht="15">
      <c r="J823" s="5"/>
    </row>
    <row r="824" ht="15">
      <c r="J824" s="5"/>
    </row>
    <row r="825" ht="15">
      <c r="J825" s="5"/>
    </row>
    <row r="826" ht="15">
      <c r="J826" s="5"/>
    </row>
    <row r="827" ht="15">
      <c r="J827" s="5"/>
    </row>
    <row r="828" ht="15">
      <c r="J828" s="5"/>
    </row>
    <row r="829" ht="15">
      <c r="J829" s="5"/>
    </row>
    <row r="830" ht="15">
      <c r="J830" s="5"/>
    </row>
    <row r="831" ht="15">
      <c r="J831" s="5"/>
    </row>
    <row r="832" ht="15">
      <c r="J832" s="5"/>
    </row>
    <row r="833" ht="15">
      <c r="J833" s="5"/>
    </row>
    <row r="834" ht="15">
      <c r="J834" s="5"/>
    </row>
    <row r="835" ht="15">
      <c r="J835" s="5"/>
    </row>
    <row r="836" ht="15">
      <c r="J836" s="5"/>
    </row>
    <row r="837" ht="15">
      <c r="J837" s="5"/>
    </row>
    <row r="838" ht="15">
      <c r="J838" s="5"/>
    </row>
    <row r="839" ht="15">
      <c r="J839" s="5"/>
    </row>
    <row r="840" ht="15">
      <c r="J840" s="5"/>
    </row>
    <row r="841" ht="15">
      <c r="J841" s="5"/>
    </row>
    <row r="842" ht="15">
      <c r="J842" s="5"/>
    </row>
    <row r="843" ht="15">
      <c r="J843" s="5"/>
    </row>
    <row r="844" ht="15">
      <c r="J844" s="5"/>
    </row>
    <row r="845" ht="15">
      <c r="J845" s="5"/>
    </row>
    <row r="846" ht="15">
      <c r="J846" s="5"/>
    </row>
    <row r="847" ht="15">
      <c r="J847" s="5"/>
    </row>
    <row r="848" ht="15">
      <c r="J848" s="5"/>
    </row>
    <row r="849" ht="15">
      <c r="J849" s="5"/>
    </row>
    <row r="850" ht="15">
      <c r="J850" s="5"/>
    </row>
    <row r="851" ht="15">
      <c r="J851" s="5"/>
    </row>
    <row r="852" ht="15">
      <c r="J852" s="5"/>
    </row>
    <row r="853" ht="15">
      <c r="J853" s="5"/>
    </row>
    <row r="854" ht="15">
      <c r="J854" s="5"/>
    </row>
    <row r="855" ht="15">
      <c r="J855" s="5"/>
    </row>
    <row r="856" ht="15">
      <c r="J856" s="5"/>
    </row>
    <row r="857" ht="15">
      <c r="J857" s="5"/>
    </row>
    <row r="858" ht="15">
      <c r="J858" s="5"/>
    </row>
    <row r="859" ht="15">
      <c r="J859" s="5"/>
    </row>
    <row r="860" ht="15">
      <c r="J860" s="5"/>
    </row>
    <row r="861" ht="15">
      <c r="J861" s="5"/>
    </row>
    <row r="862" ht="15">
      <c r="J862" s="5"/>
    </row>
    <row r="863" ht="15">
      <c r="J863" s="5"/>
    </row>
    <row r="864" ht="15">
      <c r="J864" s="5"/>
    </row>
    <row r="865" ht="15">
      <c r="J865" s="5"/>
    </row>
    <row r="866" ht="15">
      <c r="J866" s="5"/>
    </row>
    <row r="867" ht="15">
      <c r="J867" s="5"/>
    </row>
    <row r="868" ht="15">
      <c r="J868" s="5"/>
    </row>
    <row r="869" ht="15">
      <c r="J869" s="5"/>
    </row>
    <row r="870" ht="15">
      <c r="J870" s="5"/>
    </row>
    <row r="871" ht="15">
      <c r="J871" s="5"/>
    </row>
    <row r="872" ht="15">
      <c r="J872" s="5"/>
    </row>
    <row r="873" ht="15">
      <c r="J873" s="5"/>
    </row>
    <row r="874" ht="15">
      <c r="J874" s="5"/>
    </row>
    <row r="875" ht="15">
      <c r="J875" s="5"/>
    </row>
    <row r="876" ht="15">
      <c r="J876" s="5"/>
    </row>
    <row r="877" ht="15">
      <c r="J877" s="5"/>
    </row>
    <row r="878" ht="15">
      <c r="J878" s="5"/>
    </row>
    <row r="879" ht="15">
      <c r="J879" s="5"/>
    </row>
    <row r="880" ht="15">
      <c r="J880" s="5"/>
    </row>
    <row r="881" ht="15">
      <c r="J881" s="5"/>
    </row>
    <row r="882" ht="15">
      <c r="J882" s="5"/>
    </row>
    <row r="883" ht="15">
      <c r="J883" s="5"/>
    </row>
    <row r="884" ht="15">
      <c r="J884" s="5"/>
    </row>
    <row r="885" ht="15">
      <c r="J885" s="5"/>
    </row>
    <row r="886" ht="15">
      <c r="J886" s="5"/>
    </row>
    <row r="887" ht="15">
      <c r="J887" s="5"/>
    </row>
    <row r="888" ht="15">
      <c r="J888" s="5"/>
    </row>
    <row r="889" ht="15">
      <c r="J889" s="5"/>
    </row>
    <row r="890" ht="15">
      <c r="J890" s="5"/>
    </row>
    <row r="891" ht="15">
      <c r="J891" s="5"/>
    </row>
    <row r="892" ht="15">
      <c r="J892" s="5"/>
    </row>
    <row r="893" ht="15">
      <c r="J893" s="5"/>
    </row>
    <row r="894" ht="15">
      <c r="J894" s="5"/>
    </row>
    <row r="895" ht="15">
      <c r="J895" s="5"/>
    </row>
    <row r="896" ht="15">
      <c r="J896" s="5"/>
    </row>
    <row r="897" ht="15">
      <c r="J897" s="5"/>
    </row>
    <row r="898" ht="15">
      <c r="J898" s="5"/>
    </row>
    <row r="899" ht="15">
      <c r="J899" s="5"/>
    </row>
    <row r="900" ht="15">
      <c r="J900" s="5"/>
    </row>
    <row r="901" ht="15">
      <c r="J901" s="5"/>
    </row>
    <row r="902" ht="15">
      <c r="J902" s="5"/>
    </row>
    <row r="903" ht="15">
      <c r="J903" s="5"/>
    </row>
    <row r="904" ht="15">
      <c r="J904" s="5"/>
    </row>
    <row r="905" ht="15">
      <c r="J905" s="5"/>
    </row>
    <row r="906" ht="15">
      <c r="J906" s="5"/>
    </row>
    <row r="907" ht="15">
      <c r="J907" s="5"/>
    </row>
    <row r="908" ht="15">
      <c r="J908" s="5"/>
    </row>
    <row r="909" ht="15">
      <c r="J909" s="5"/>
    </row>
    <row r="910" ht="15">
      <c r="J910" s="5"/>
    </row>
    <row r="911" ht="15">
      <c r="J911" s="5"/>
    </row>
    <row r="912" ht="15">
      <c r="J912" s="5"/>
    </row>
    <row r="913" ht="15">
      <c r="J913" s="5"/>
    </row>
    <row r="914" ht="15">
      <c r="J914" s="5"/>
    </row>
    <row r="915" ht="15">
      <c r="J915" s="5"/>
    </row>
    <row r="916" ht="15">
      <c r="J916" s="5"/>
    </row>
    <row r="917" ht="15">
      <c r="J917" s="5"/>
    </row>
    <row r="918" ht="15">
      <c r="J918" s="5"/>
    </row>
    <row r="919" ht="15">
      <c r="J919" s="5"/>
    </row>
    <row r="920" ht="15">
      <c r="J920" s="5"/>
    </row>
    <row r="921" ht="15">
      <c r="J921" s="5"/>
    </row>
    <row r="922" ht="15">
      <c r="J922" s="5"/>
    </row>
    <row r="923" ht="15">
      <c r="J923" s="5"/>
    </row>
    <row r="924" ht="15">
      <c r="J924" s="5"/>
    </row>
    <row r="925" ht="15">
      <c r="J925" s="5"/>
    </row>
    <row r="926" ht="15">
      <c r="J926" s="5"/>
    </row>
    <row r="927" ht="15">
      <c r="J927" s="5"/>
    </row>
    <row r="928" ht="15">
      <c r="J928" s="5"/>
    </row>
    <row r="929" ht="15">
      <c r="J929" s="5"/>
    </row>
    <row r="930" ht="15">
      <c r="J930" s="5"/>
    </row>
    <row r="931" ht="15">
      <c r="J931" s="5"/>
    </row>
    <row r="932" ht="15">
      <c r="J932" s="5"/>
    </row>
    <row r="933" ht="15">
      <c r="J933" s="5"/>
    </row>
    <row r="934" ht="15">
      <c r="J934" s="5"/>
    </row>
    <row r="935" ht="15">
      <c r="J935" s="5"/>
    </row>
    <row r="936" ht="15">
      <c r="J936" s="5"/>
    </row>
    <row r="937" ht="15">
      <c r="J937" s="5"/>
    </row>
    <row r="938" ht="15">
      <c r="J938" s="5"/>
    </row>
    <row r="939" ht="15">
      <c r="J939" s="5"/>
    </row>
    <row r="940" ht="15">
      <c r="J940" s="5"/>
    </row>
    <row r="941" ht="15">
      <c r="J941" s="5"/>
    </row>
    <row r="942" ht="15">
      <c r="J942" s="5"/>
    </row>
    <row r="943" ht="15">
      <c r="J943" s="5"/>
    </row>
    <row r="944" ht="15">
      <c r="J944" s="5"/>
    </row>
    <row r="945" ht="15">
      <c r="J945" s="5"/>
    </row>
    <row r="946" ht="15">
      <c r="J946" s="5"/>
    </row>
    <row r="947" ht="15">
      <c r="J947" s="5"/>
    </row>
    <row r="948" ht="15">
      <c r="J948" s="5"/>
    </row>
    <row r="949" ht="15">
      <c r="J949" s="5"/>
    </row>
    <row r="950" ht="15">
      <c r="J950" s="5"/>
    </row>
    <row r="951" ht="15">
      <c r="J951" s="5"/>
    </row>
    <row r="952" ht="15">
      <c r="J952" s="5"/>
    </row>
    <row r="953" ht="15">
      <c r="J953" s="5"/>
    </row>
    <row r="954" ht="15">
      <c r="J954" s="5"/>
    </row>
    <row r="955" ht="15">
      <c r="J955" s="5"/>
    </row>
    <row r="956" ht="15">
      <c r="J956" s="5"/>
    </row>
    <row r="957" ht="15">
      <c r="J957" s="5"/>
    </row>
    <row r="958" ht="15">
      <c r="J958" s="5"/>
    </row>
    <row r="959" ht="15">
      <c r="J959" s="5"/>
    </row>
    <row r="960" ht="15">
      <c r="J960" s="5"/>
    </row>
    <row r="961" ht="15">
      <c r="J961" s="5"/>
    </row>
    <row r="962" ht="15">
      <c r="J962" s="5"/>
    </row>
    <row r="963" ht="15">
      <c r="J963" s="5"/>
    </row>
    <row r="964" ht="15">
      <c r="J964" s="5"/>
    </row>
    <row r="965" ht="15">
      <c r="J965" s="5"/>
    </row>
    <row r="966" ht="15">
      <c r="J966" s="5"/>
    </row>
    <row r="967" ht="15">
      <c r="J967" s="5"/>
    </row>
    <row r="968" ht="15">
      <c r="J968" s="5"/>
    </row>
    <row r="969" ht="15">
      <c r="J969" s="5"/>
    </row>
    <row r="970" ht="15">
      <c r="J970" s="5"/>
    </row>
    <row r="971" ht="15">
      <c r="J971" s="5"/>
    </row>
    <row r="972" ht="15">
      <c r="J972" s="5"/>
    </row>
    <row r="973" ht="15">
      <c r="J973" s="5"/>
    </row>
    <row r="974" ht="15">
      <c r="J974" s="5"/>
    </row>
    <row r="975" ht="15">
      <c r="J975" s="5"/>
    </row>
    <row r="976" ht="15">
      <c r="J976" s="5"/>
    </row>
    <row r="977" ht="15">
      <c r="J977" s="5"/>
    </row>
    <row r="978" ht="15">
      <c r="J978" s="5"/>
    </row>
    <row r="979" ht="15">
      <c r="J979" s="5"/>
    </row>
    <row r="980" ht="15">
      <c r="J980" s="5"/>
    </row>
    <row r="981" ht="15">
      <c r="J981" s="5"/>
    </row>
    <row r="982" ht="15">
      <c r="J982" s="5"/>
    </row>
    <row r="983" ht="15">
      <c r="J983" s="5"/>
    </row>
    <row r="984" ht="15">
      <c r="J984" s="5"/>
    </row>
    <row r="985" ht="15">
      <c r="J985" s="5"/>
    </row>
    <row r="986" ht="15">
      <c r="J986" s="5"/>
    </row>
    <row r="987" ht="15">
      <c r="J987" s="5"/>
    </row>
    <row r="988" ht="15">
      <c r="J988" s="5"/>
    </row>
    <row r="989" ht="15">
      <c r="J989" s="5"/>
    </row>
    <row r="990" ht="15">
      <c r="J990" s="5"/>
    </row>
    <row r="991" ht="15">
      <c r="J991" s="5"/>
    </row>
    <row r="992" ht="15">
      <c r="J992" s="5"/>
    </row>
    <row r="993" ht="15">
      <c r="J993" s="5"/>
    </row>
    <row r="994" ht="15">
      <c r="J994" s="5"/>
    </row>
    <row r="995" ht="15">
      <c r="J995" s="5"/>
    </row>
    <row r="996" ht="15">
      <c r="J996" s="5"/>
    </row>
    <row r="997" ht="15">
      <c r="J997" s="5"/>
    </row>
    <row r="998" ht="15">
      <c r="J998" s="5"/>
    </row>
    <row r="999" ht="15">
      <c r="J999" s="5"/>
    </row>
    <row r="1000" ht="15">
      <c r="J1000" s="5"/>
    </row>
    <row r="1001" ht="15">
      <c r="J1001" s="5"/>
    </row>
    <row r="1002" ht="15">
      <c r="J1002" s="5"/>
    </row>
    <row r="1003" ht="15">
      <c r="J1003" s="5"/>
    </row>
    <row r="1004" ht="15">
      <c r="J1004" s="5"/>
    </row>
    <row r="1005" ht="15">
      <c r="J1005" s="5"/>
    </row>
    <row r="1006" ht="15">
      <c r="J1006" s="5"/>
    </row>
    <row r="1007" ht="15">
      <c r="J1007" s="5"/>
    </row>
    <row r="1008" ht="15">
      <c r="J1008" s="5"/>
    </row>
    <row r="1009" ht="15">
      <c r="J1009" s="5"/>
    </row>
    <row r="1010" ht="15">
      <c r="J1010" s="5"/>
    </row>
    <row r="1011" ht="15">
      <c r="J1011" s="5"/>
    </row>
    <row r="1012" ht="15">
      <c r="J1012" s="5"/>
    </row>
    <row r="1013" ht="15">
      <c r="J1013" s="5"/>
    </row>
    <row r="1014" ht="15">
      <c r="J1014" s="5"/>
    </row>
    <row r="1015" ht="15">
      <c r="J1015" s="5"/>
    </row>
    <row r="1016" ht="15">
      <c r="J1016" s="5"/>
    </row>
    <row r="1017" ht="15">
      <c r="J1017" s="5"/>
    </row>
    <row r="1018" ht="15">
      <c r="J1018" s="5"/>
    </row>
    <row r="1019" ht="15">
      <c r="J1019" s="5"/>
    </row>
    <row r="1020" ht="15">
      <c r="J1020" s="5"/>
    </row>
    <row r="1021" ht="15">
      <c r="J1021" s="5"/>
    </row>
    <row r="1022" ht="15">
      <c r="J1022" s="5"/>
    </row>
    <row r="1023" ht="15">
      <c r="J1023" s="5"/>
    </row>
    <row r="1024" ht="15">
      <c r="J1024" s="5"/>
    </row>
    <row r="1025" ht="15">
      <c r="J1025" s="5"/>
    </row>
    <row r="1026" ht="15">
      <c r="J1026" s="5"/>
    </row>
    <row r="1027" ht="15">
      <c r="J1027" s="5"/>
    </row>
    <row r="1028" ht="15">
      <c r="J1028" s="5"/>
    </row>
    <row r="1029" ht="15">
      <c r="J1029" s="5"/>
    </row>
    <row r="1030" ht="15">
      <c r="J1030" s="5"/>
    </row>
    <row r="1031" ht="15">
      <c r="J1031" s="5"/>
    </row>
    <row r="1032" ht="15">
      <c r="J1032" s="5"/>
    </row>
    <row r="1033" ht="15">
      <c r="J1033" s="5"/>
    </row>
    <row r="1034" ht="15">
      <c r="J1034" s="5"/>
    </row>
    <row r="1035" ht="15">
      <c r="J1035" s="5"/>
    </row>
    <row r="1036" ht="15">
      <c r="J1036" s="5"/>
    </row>
    <row r="1037" ht="15">
      <c r="J1037" s="5"/>
    </row>
    <row r="1038" ht="15">
      <c r="J1038" s="5"/>
    </row>
    <row r="1039" ht="15">
      <c r="J1039" s="5"/>
    </row>
    <row r="1040" ht="15">
      <c r="J1040" s="5"/>
    </row>
    <row r="1041" ht="15">
      <c r="J1041" s="5"/>
    </row>
    <row r="1042" ht="15">
      <c r="J1042" s="5"/>
    </row>
    <row r="1043" ht="15">
      <c r="J1043" s="5"/>
    </row>
    <row r="1044" ht="15">
      <c r="J1044" s="5"/>
    </row>
    <row r="1045" ht="15">
      <c r="J1045" s="5"/>
    </row>
    <row r="1046" ht="15">
      <c r="J1046" s="5"/>
    </row>
    <row r="1047" ht="15">
      <c r="J1047" s="5"/>
    </row>
    <row r="1048" ht="15">
      <c r="J1048" s="5"/>
    </row>
    <row r="1049" ht="15">
      <c r="J1049" s="5"/>
    </row>
    <row r="1050" ht="15">
      <c r="J1050" s="5"/>
    </row>
    <row r="1051" ht="15">
      <c r="J1051" s="5"/>
    </row>
    <row r="1052" ht="15">
      <c r="J1052" s="5"/>
    </row>
    <row r="1053" ht="15">
      <c r="J1053" s="5"/>
    </row>
    <row r="1054" ht="15">
      <c r="J1054" s="5"/>
    </row>
    <row r="1055" ht="15">
      <c r="J1055" s="5"/>
    </row>
    <row r="1056" ht="15">
      <c r="J1056" s="5"/>
    </row>
    <row r="1057" ht="15">
      <c r="J1057" s="5"/>
    </row>
    <row r="1058" ht="15">
      <c r="J1058" s="5"/>
    </row>
    <row r="1059" ht="15">
      <c r="J1059" s="5"/>
    </row>
    <row r="1060" ht="15">
      <c r="J1060" s="5"/>
    </row>
    <row r="1061" ht="15">
      <c r="J1061" s="5"/>
    </row>
    <row r="1062" ht="15">
      <c r="J1062" s="5"/>
    </row>
    <row r="1063" ht="15">
      <c r="J1063" s="5"/>
    </row>
    <row r="1064" ht="15">
      <c r="J1064" s="5"/>
    </row>
  </sheetData>
  <sheetProtection/>
  <mergeCells count="2">
    <mergeCell ref="B5:D8"/>
    <mergeCell ref="B1:F1"/>
  </mergeCells>
  <conditionalFormatting sqref="B1">
    <cfRule type="cellIs" priority="1" dxfId="26" operator="equal" stopIfTrue="1">
      <formula>0</formula>
    </cfRule>
    <cfRule type="cellIs" priority="2" dxfId="27" operator="notEqual" stopIfTrue="1">
      <formula>0</formula>
    </cfRule>
  </conditionalFormatting>
  <hyperlinks>
    <hyperlink ref="B9" r:id="rId1" display="Crystal Ball Website"/>
  </hyperlinks>
  <printOptions/>
  <pageMargins left="0.7" right="0.7" top="0.75" bottom="0.75" header="0.3" footer="0.3"/>
  <pageSetup horizontalDpi="600" verticalDpi="600" orientation="portrait" r:id="rId3"/>
  <drawing r:id="rId2"/>
</worksheet>
</file>

<file path=xl/worksheets/sheet6.xml><?xml version="1.0" encoding="utf-8"?>
<worksheet xmlns="http://schemas.openxmlformats.org/spreadsheetml/2006/main" xmlns:r="http://schemas.openxmlformats.org/officeDocument/2006/relationships">
  <sheetPr codeName="Sheet6"/>
  <dimension ref="A1:Y24"/>
  <sheetViews>
    <sheetView zoomScalePageLayoutView="0" workbookViewId="0" topLeftCell="A1">
      <selection activeCell="A1" sqref="A1"/>
    </sheetView>
  </sheetViews>
  <sheetFormatPr defaultColWidth="9.140625" defaultRowHeight="15"/>
  <cols>
    <col min="1" max="1" width="7.7109375" style="0" customWidth="1"/>
    <col min="2" max="2" width="14.28125" style="0" bestFit="1" customWidth="1"/>
    <col min="3" max="3" width="11.8515625" style="0" customWidth="1"/>
  </cols>
  <sheetData>
    <row r="1" spans="2:16" s="127" customFormat="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382"/>
      <c r="J1" s="382"/>
      <c r="K1" s="382"/>
      <c r="L1" s="382"/>
      <c r="P1" s="242" t="str">
        <f>'User''s Guide'!C1</f>
        <v>Last  Updated : 'September 2011</v>
      </c>
    </row>
    <row r="2" spans="1:7" s="133" customFormat="1" ht="20.25">
      <c r="A2" s="130"/>
      <c r="B2" s="131" t="s">
        <v>432</v>
      </c>
      <c r="C2" s="130"/>
      <c r="D2" s="130"/>
      <c r="E2" s="130"/>
      <c r="F2" s="130"/>
      <c r="G2" s="132"/>
    </row>
    <row r="3" spans="1:7" s="133" customFormat="1" ht="20.25" customHeight="1">
      <c r="A3" s="130"/>
      <c r="B3" s="134"/>
      <c r="C3" s="130"/>
      <c r="D3" s="130"/>
      <c r="E3" s="130"/>
      <c r="F3" s="130"/>
      <c r="G3" s="130"/>
    </row>
    <row r="4" ht="15">
      <c r="B4" s="12" t="s">
        <v>285</v>
      </c>
    </row>
    <row r="5" ht="15">
      <c r="B5" s="12" t="s">
        <v>23</v>
      </c>
    </row>
    <row r="7" spans="1:4" s="12" customFormat="1" ht="15">
      <c r="A7"/>
      <c r="B7" s="12" t="s">
        <v>283</v>
      </c>
      <c r="C7"/>
      <c r="D7" s="297" t="s">
        <v>28</v>
      </c>
    </row>
    <row r="8" spans="1:25" s="12" customFormat="1" ht="15">
      <c r="A8"/>
      <c r="B8"/>
      <c r="C8"/>
      <c r="D8" s="12">
        <v>-1</v>
      </c>
      <c r="E8" s="12">
        <v>0</v>
      </c>
      <c r="F8" s="12">
        <v>1</v>
      </c>
      <c r="G8" s="12">
        <v>2</v>
      </c>
      <c r="H8" s="12">
        <v>3</v>
      </c>
      <c r="I8" s="12">
        <v>4</v>
      </c>
      <c r="J8" s="12">
        <v>5</v>
      </c>
      <c r="K8" s="12">
        <v>6</v>
      </c>
      <c r="L8" s="12">
        <v>7</v>
      </c>
      <c r="M8" s="12">
        <v>8</v>
      </c>
      <c r="N8" s="12">
        <v>9</v>
      </c>
      <c r="O8" s="12">
        <v>10</v>
      </c>
      <c r="P8" s="12">
        <v>11</v>
      </c>
      <c r="Q8" s="12">
        <v>12</v>
      </c>
      <c r="R8" s="12">
        <v>13</v>
      </c>
      <c r="S8" s="12">
        <v>14</v>
      </c>
      <c r="T8" s="12">
        <v>15</v>
      </c>
      <c r="U8" s="12">
        <v>16</v>
      </c>
      <c r="V8" s="12">
        <v>17</v>
      </c>
      <c r="W8" s="12">
        <v>18</v>
      </c>
      <c r="X8" s="12">
        <v>19</v>
      </c>
      <c r="Y8" s="12">
        <v>20</v>
      </c>
    </row>
    <row r="9" spans="1:25" s="12" customFormat="1" ht="15">
      <c r="A9"/>
      <c r="B9" t="s">
        <v>281</v>
      </c>
      <c r="C9"/>
      <c r="D9" s="298">
        <v>2010</v>
      </c>
      <c r="E9" s="298">
        <v>2011</v>
      </c>
      <c r="F9" s="298">
        <v>2012</v>
      </c>
      <c r="G9" s="298">
        <v>2013</v>
      </c>
      <c r="H9" s="298">
        <v>2014</v>
      </c>
      <c r="I9" s="298">
        <v>2015</v>
      </c>
      <c r="J9" s="298">
        <v>2016</v>
      </c>
      <c r="K9" s="298">
        <v>2017</v>
      </c>
      <c r="L9" s="298">
        <v>2018</v>
      </c>
      <c r="M9" s="298">
        <v>2019</v>
      </c>
      <c r="N9" s="298">
        <v>2020</v>
      </c>
      <c r="O9" s="298">
        <v>2021</v>
      </c>
      <c r="P9" s="298">
        <v>2022</v>
      </c>
      <c r="Q9" s="298">
        <v>2023</v>
      </c>
      <c r="R9" s="298">
        <v>2024</v>
      </c>
      <c r="S9" s="298">
        <v>2025</v>
      </c>
      <c r="T9" s="298">
        <v>2026</v>
      </c>
      <c r="U9" s="298">
        <v>2027</v>
      </c>
      <c r="V9" s="298">
        <v>2028</v>
      </c>
      <c r="W9" s="298">
        <v>2029</v>
      </c>
      <c r="X9" s="298">
        <v>2030</v>
      </c>
      <c r="Y9" s="298">
        <v>2031</v>
      </c>
    </row>
    <row r="10" spans="2:25" ht="15">
      <c r="B10" t="s">
        <v>282</v>
      </c>
      <c r="D10" s="4">
        <f>AnalysisSVic!E17+AnalysisSal!E18+AnalysisBV!E18</f>
        <v>9802</v>
      </c>
      <c r="E10" s="4">
        <f>AnalysisSVic!F17+AnalysisSal!F18+AnalysisBV!F18</f>
        <v>10656.318</v>
      </c>
      <c r="F10" s="4">
        <f>AnalysisSVic!G17+AnalysisSal!G18+AnalysisBV!G18</f>
        <v>11585.442222</v>
      </c>
      <c r="G10" s="4">
        <f>AnalysisSVic!H17+AnalysisSal!H18+AnalysisBV!H18</f>
        <v>12595.946910317998</v>
      </c>
      <c r="H10" s="4">
        <f>AnalysisSVic!I17+AnalysisSal!I18+AnalysisBV!I18</f>
        <v>13694.985738374382</v>
      </c>
      <c r="I10" s="4">
        <f>AnalysisSVic!J17+AnalysisSal!J18+AnalysisBV!J18</f>
        <v>14890.342991734371</v>
      </c>
      <c r="J10" s="4">
        <f>AnalysisSVic!K17+AnalysisSal!K18+AnalysisBV!K18</f>
        <v>16190.489280183236</v>
      </c>
      <c r="K10" s="4">
        <f>AnalysisSVic!L17+AnalysisSal!L18+AnalysisBV!L18</f>
        <v>17000.013744192398</v>
      </c>
      <c r="L10" s="4">
        <f>AnalysisSVic!M17+AnalysisSal!M18+AnalysisBV!M18</f>
        <v>17850.014431402018</v>
      </c>
      <c r="M10" s="4">
        <f>AnalysisSVic!N17+AnalysisSal!N18+AnalysisBV!N18</f>
        <v>18742.51515297212</v>
      </c>
      <c r="N10" s="4">
        <f>AnalysisSVic!O17+AnalysisSal!O18+AnalysisBV!O18</f>
        <v>19679.64091062073</v>
      </c>
      <c r="O10" s="4">
        <f>AnalysisSVic!P17+AnalysisSal!P18+AnalysisBV!P18</f>
        <v>20663.62295615176</v>
      </c>
      <c r="P10" s="4">
        <f>AnalysisSVic!Q17+AnalysisSal!Q18+AnalysisBV!Q18</f>
        <v>21696.80410395935</v>
      </c>
      <c r="Q10" s="4">
        <f>AnalysisSVic!R17+AnalysisSal!R18+AnalysisBV!R18</f>
        <v>22781.644309157324</v>
      </c>
      <c r="R10" s="4">
        <f>AnalysisSVic!S17+AnalysisSal!S18+AnalysisBV!S18</f>
        <v>23920.72652461519</v>
      </c>
      <c r="S10" s="4">
        <f>AnalysisSVic!T17+AnalysisSal!T18+AnalysisBV!T18</f>
        <v>25116.762850845953</v>
      </c>
      <c r="T10" s="4">
        <f>AnalysisSVic!U17+AnalysisSal!U18+AnalysisBV!U18</f>
        <v>26372.600993388252</v>
      </c>
      <c r="U10" s="4">
        <f>AnalysisSVic!V17+AnalysisSal!V18+AnalysisBV!V18</f>
        <v>27691.23104305766</v>
      </c>
      <c r="V10" s="4">
        <f>AnalysisSVic!W17+AnalysisSal!W18+AnalysisBV!W18</f>
        <v>29075.792595210547</v>
      </c>
      <c r="W10" s="4">
        <f>AnalysisSVic!X17+AnalysisSal!X18+AnalysisBV!X18</f>
        <v>30529.582224971076</v>
      </c>
      <c r="X10" s="4">
        <f>AnalysisSVic!Y17+AnalysisSal!Y18+AnalysisBV!Y18</f>
        <v>32056.06133621963</v>
      </c>
      <c r="Y10" s="4">
        <f>AnalysisSVic!Z17+AnalysisSal!Z18+AnalysisBV!Z18</f>
        <v>33298.1594079834</v>
      </c>
    </row>
    <row r="11" spans="2:25" ht="15">
      <c r="B11" t="s">
        <v>27</v>
      </c>
      <c r="D11" s="4">
        <f>AnalysisSVic!E20+AnalysisSal!E21+AnalysisBV!E21</f>
        <v>2195913</v>
      </c>
      <c r="E11" s="4">
        <f>AnalysisSVic!F20+AnalysisSal!F21+AnalysisBV!F21</f>
        <v>2388712.497</v>
      </c>
      <c r="F11" s="4">
        <f>AnalysisSVic!G20+AnalysisSal!G21+AnalysisBV!G21</f>
        <v>2598491.8495529997</v>
      </c>
      <c r="G11" s="4">
        <f>AnalysisSVic!H20+AnalysisSal!H21+AnalysisBV!H21</f>
        <v>2826750.072424977</v>
      </c>
      <c r="H11" s="4">
        <f>AnalysisSVic!I20+AnalysisSal!I21+AnalysisBV!I21</f>
        <v>3075118.7636143593</v>
      </c>
      <c r="I11" s="4">
        <f>AnalysisSVic!J20+AnalysisSal!J21+AnalysisBV!J21</f>
        <v>3345373.847882159</v>
      </c>
      <c r="J11" s="4">
        <f>AnalysisSVic!K20+AnalysisSal!K21+AnalysisBV!K21</f>
        <v>3639448.361622609</v>
      </c>
      <c r="K11" s="4">
        <f>AnalysisSVic!L20+AnalysisSal!L21+AnalysisBV!L21</f>
        <v>3821420.77970374</v>
      </c>
      <c r="L11" s="4">
        <f>AnalysisSVic!M20+AnalysisSal!M21+AnalysisBV!M21</f>
        <v>4012491.8186889263</v>
      </c>
      <c r="M11" s="4">
        <f>AnalysisSVic!N20+AnalysisSal!N21+AnalysisBV!N21</f>
        <v>4213116.409623373</v>
      </c>
      <c r="N11" s="4">
        <f>AnalysisSVic!O20+AnalysisSal!O21+AnalysisBV!O21</f>
        <v>4423772.230104541</v>
      </c>
      <c r="O11" s="4">
        <f>AnalysisSVic!P20+AnalysisSal!P21+AnalysisBV!P21</f>
        <v>4644960.8416097695</v>
      </c>
      <c r="P11" s="4">
        <f>AnalysisSVic!Q20+AnalysisSal!Q21+AnalysisBV!Q21</f>
        <v>4877208.8836902585</v>
      </c>
      <c r="Q11" s="4">
        <f>AnalysisSVic!R20+AnalysisSal!R21+AnalysisBV!R21</f>
        <v>5121069.327874771</v>
      </c>
      <c r="R11" s="4">
        <f>AnalysisSVic!S20+AnalysisSal!S21+AnalysisBV!S21</f>
        <v>5377122.79426851</v>
      </c>
      <c r="S11" s="4">
        <f>AnalysisSVic!T20+AnalysisSal!T21+AnalysisBV!T21</f>
        <v>5645978.9339819355</v>
      </c>
      <c r="T11" s="4">
        <f>AnalysisSVic!U20+AnalysisSal!U21+AnalysisBV!U21</f>
        <v>5928277.880681032</v>
      </c>
      <c r="U11" s="4">
        <f>AnalysisSVic!V20+AnalysisSal!V21+AnalysisBV!V21</f>
        <v>6224691.774715085</v>
      </c>
      <c r="V11" s="4">
        <f>AnalysisSVic!W20+AnalysisSal!W21+AnalysisBV!W21</f>
        <v>6535926.363450838</v>
      </c>
      <c r="W11" s="4">
        <f>AnalysisSVic!X20+AnalysisSal!X21+AnalysisBV!X21</f>
        <v>6862722.6816233825</v>
      </c>
      <c r="X11" s="4">
        <f>AnalysisSVic!Y20+AnalysisSal!Y21+AnalysisBV!Y21</f>
        <v>7205858.815704551</v>
      </c>
      <c r="Y11" s="4">
        <f>AnalysisSVic!Z20+AnalysisSal!Z21+AnalysisBV!Z21</f>
        <v>7487157.362574441</v>
      </c>
    </row>
    <row r="12" ht="15">
      <c r="D12" s="9" t="s">
        <v>28</v>
      </c>
    </row>
    <row r="13" spans="4:25" ht="15">
      <c r="D13" s="12">
        <v>-1</v>
      </c>
      <c r="E13" s="12">
        <v>0</v>
      </c>
      <c r="F13" s="12">
        <v>1</v>
      </c>
      <c r="G13" s="12">
        <v>2</v>
      </c>
      <c r="H13" s="12">
        <v>3</v>
      </c>
      <c r="I13" s="12">
        <v>4</v>
      </c>
      <c r="J13" s="12">
        <v>5</v>
      </c>
      <c r="K13" s="12">
        <v>6</v>
      </c>
      <c r="L13" s="12">
        <v>7</v>
      </c>
      <c r="M13" s="12">
        <v>8</v>
      </c>
      <c r="N13" s="12">
        <v>9</v>
      </c>
      <c r="O13" s="12">
        <v>10</v>
      </c>
      <c r="P13" s="12">
        <v>11</v>
      </c>
      <c r="Q13" s="12">
        <v>12</v>
      </c>
      <c r="R13" s="12">
        <v>13</v>
      </c>
      <c r="S13" s="12">
        <v>14</v>
      </c>
      <c r="T13" s="12">
        <v>15</v>
      </c>
      <c r="U13" s="12">
        <v>16</v>
      </c>
      <c r="V13" s="12">
        <v>17</v>
      </c>
      <c r="W13" s="12">
        <v>18</v>
      </c>
      <c r="X13" s="12">
        <v>19</v>
      </c>
      <c r="Y13" s="12">
        <v>20</v>
      </c>
    </row>
    <row r="14" spans="2:25" ht="15">
      <c r="B14" t="s">
        <v>284</v>
      </c>
      <c r="D14" s="298">
        <v>2010</v>
      </c>
      <c r="E14" s="298">
        <v>2011</v>
      </c>
      <c r="F14" s="298">
        <v>2012</v>
      </c>
      <c r="G14" s="298">
        <v>2013</v>
      </c>
      <c r="H14" s="298">
        <v>2014</v>
      </c>
      <c r="I14" s="298">
        <v>2015</v>
      </c>
      <c r="J14" s="298">
        <v>2016</v>
      </c>
      <c r="K14" s="298">
        <v>2017</v>
      </c>
      <c r="L14" s="298">
        <v>2018</v>
      </c>
      <c r="M14" s="298">
        <v>2019</v>
      </c>
      <c r="N14" s="298">
        <v>2020</v>
      </c>
      <c r="O14" s="298">
        <v>2021</v>
      </c>
      <c r="P14" s="298">
        <v>2022</v>
      </c>
      <c r="Q14" s="298">
        <v>2023</v>
      </c>
      <c r="R14" s="298">
        <v>2024</v>
      </c>
      <c r="S14" s="298">
        <v>2025</v>
      </c>
      <c r="T14" s="298">
        <v>2026</v>
      </c>
      <c r="U14" s="298">
        <v>2027</v>
      </c>
      <c r="V14" s="298">
        <v>2028</v>
      </c>
      <c r="W14" s="298">
        <v>2029</v>
      </c>
      <c r="X14" s="298">
        <v>2030</v>
      </c>
      <c r="Y14" s="298">
        <v>2031</v>
      </c>
    </row>
    <row r="15" spans="2:25" ht="15">
      <c r="B15" t="s">
        <v>282</v>
      </c>
      <c r="D15" s="4">
        <f>AnalysisSVic!E35+AnalysisSal!E36+AnalysisBV!E36</f>
        <v>9802</v>
      </c>
      <c r="E15" s="4">
        <f>AnalysisSVic!F35+AnalysisSal!F36+AnalysisBV!F36</f>
        <v>10656.318</v>
      </c>
      <c r="F15" s="4">
        <f>AnalysisSVic!G35+AnalysisSal!G36+AnalysisBV!G36</f>
        <v>11585.442222</v>
      </c>
      <c r="G15" s="4">
        <f>AnalysisSVic!H35+AnalysisSal!H36+AnalysisBV!H36</f>
        <v>12595.946910317998</v>
      </c>
      <c r="H15" s="4">
        <f>AnalysisSVic!I35+AnalysisSal!I36+AnalysisBV!I36</f>
        <v>13694.985738374382</v>
      </c>
      <c r="I15" s="4">
        <f>AnalysisSVic!J35+AnalysisSal!J36+AnalysisBV!J36</f>
        <v>14890.342991734371</v>
      </c>
      <c r="J15" s="4">
        <f>AnalysisSVic!K35+AnalysisSal!K36+AnalysisBV!K36</f>
        <v>17040.489967392856</v>
      </c>
      <c r="K15" s="4">
        <f>AnalysisSVic!L35+AnalysisSal!L36+AnalysisBV!L36</f>
        <v>17932.990688962956</v>
      </c>
      <c r="L15" s="4">
        <f>AnalysisSVic!M35+AnalysisSal!M36+AnalysisBV!M36</f>
        <v>18870.116446611566</v>
      </c>
      <c r="M15" s="4">
        <f>AnalysisSVic!N35+AnalysisSal!N36+AnalysisBV!N36</f>
        <v>19854.098492142602</v>
      </c>
      <c r="N15" s="4">
        <f>AnalysisSVic!O35+AnalysisSal!O36+AnalysisBV!O36</f>
        <v>20887.279639950193</v>
      </c>
      <c r="O15" s="4">
        <f>AnalysisSVic!P35+AnalysisSal!P36+AnalysisBV!P36</f>
        <v>21972.11984514816</v>
      </c>
      <c r="P15" s="4">
        <f>AnalysisSVic!Q35+AnalysisSal!Q36+AnalysisBV!Q36</f>
        <v>23111.20206060603</v>
      </c>
      <c r="Q15" s="4">
        <f>AnalysisSVic!R35+AnalysisSal!R36+AnalysisBV!R36</f>
        <v>24307.238386836787</v>
      </c>
      <c r="R15" s="4">
        <f>AnalysisSVic!S35+AnalysisSal!S36+AnalysisBV!S36</f>
        <v>25563.076529379086</v>
      </c>
      <c r="S15" s="4">
        <f>AnalysisSVic!T35+AnalysisSal!T36+AnalysisBV!T36</f>
        <v>26881.7065790485</v>
      </c>
      <c r="T15" s="4">
        <f>AnalysisSVic!U35+AnalysisSal!U36+AnalysisBV!U36</f>
        <v>28266.26813120138</v>
      </c>
      <c r="U15" s="4">
        <f>AnalysisSVic!V35+AnalysisSal!V36+AnalysisBV!V36</f>
        <v>29720.057760961914</v>
      </c>
      <c r="V15" s="4">
        <f>AnalysisSVic!W35+AnalysisSal!W36+AnalysisBV!W36</f>
        <v>31246.53687221047</v>
      </c>
      <c r="W15" s="4">
        <f>AnalysisSVic!X35+AnalysisSal!X36+AnalysisBV!X36</f>
        <v>32849.339939021454</v>
      </c>
      <c r="X15" s="4">
        <f>AnalysisSVic!Y35+AnalysisSal!Y36+AnalysisBV!Y36</f>
        <v>33643.23527596361</v>
      </c>
      <c r="Y15" s="4">
        <f>AnalysisSVic!Z35+AnalysisSal!Z36+AnalysisBV!Z36</f>
        <v>34341.38864488274</v>
      </c>
    </row>
    <row r="16" spans="2:25" ht="15">
      <c r="B16" t="s">
        <v>27</v>
      </c>
      <c r="D16" s="4">
        <f>AnalysisSVic!E38+AnalysisSal!E39+AnalysisBV!E39</f>
        <v>2195913</v>
      </c>
      <c r="E16" s="4">
        <f>AnalysisSVic!F38+AnalysisSal!F39+AnalysisBV!F39</f>
        <v>2388712.497</v>
      </c>
      <c r="F16" s="4">
        <f>AnalysisSVic!G38+AnalysisSal!G39+AnalysisBV!G39</f>
        <v>2598491.8495529997</v>
      </c>
      <c r="G16" s="4">
        <f>AnalysisSVic!H38+AnalysisSal!H39+AnalysisBV!H39</f>
        <v>2826750.072424977</v>
      </c>
      <c r="H16" s="4">
        <f>AnalysisSVic!I38+AnalysisSal!I39+AnalysisBV!I39</f>
        <v>3075118.7636143593</v>
      </c>
      <c r="I16" s="4">
        <f>AnalysisSVic!J38+AnalysisSal!J39+AnalysisBV!J39</f>
        <v>3345373.847882159</v>
      </c>
      <c r="J16" s="4">
        <f>AnalysisSVic!K38+AnalysisSal!K39+AnalysisBV!K39</f>
        <v>3830519.400607796</v>
      </c>
      <c r="K16" s="4">
        <f>AnalysisSVic!L38+AnalysisSal!L39+AnalysisBV!L39</f>
        <v>4031143.9915422425</v>
      </c>
      <c r="L16" s="4">
        <f>AnalysisSVic!M38+AnalysisSal!M39+AnalysisBV!M39</f>
        <v>4241799.8120234115</v>
      </c>
      <c r="M16" s="4">
        <f>AnalysisSVic!N38+AnalysisSal!N39+AnalysisBV!N39</f>
        <v>4462988.423528639</v>
      </c>
      <c r="N16" s="4">
        <f>AnalysisSVic!O38+AnalysisSal!O39+AnalysisBV!O39</f>
        <v>4695236.465609128</v>
      </c>
      <c r="O16" s="4">
        <f>AnalysisSVic!P38+AnalysisSal!P39+AnalysisBV!P39</f>
        <v>4939096.9097936405</v>
      </c>
      <c r="P16" s="4">
        <f>AnalysisSVic!Q38+AnalysisSal!Q39+AnalysisBV!Q39</f>
        <v>5195150.3761873795</v>
      </c>
      <c r="Q16" s="4">
        <f>AnalysisSVic!R38+AnalysisSal!R39+AnalysisBV!R39</f>
        <v>5464006.515900806</v>
      </c>
      <c r="R16" s="4">
        <f>AnalysisSVic!S38+AnalysisSal!S39+AnalysisBV!S39</f>
        <v>5746305.462599902</v>
      </c>
      <c r="S16" s="4">
        <f>AnalysisSVic!T38+AnalysisSal!T39+AnalysisBV!T39</f>
        <v>6042719.356633954</v>
      </c>
      <c r="T16" s="4">
        <f>AnalysisSVic!U38+AnalysisSal!U39+AnalysisBV!U39</f>
        <v>6353953.945369707</v>
      </c>
      <c r="U16" s="4">
        <f>AnalysisSVic!V38+AnalysisSal!V39+AnalysisBV!V39</f>
        <v>6680750.26354225</v>
      </c>
      <c r="V16" s="4">
        <f>AnalysisSVic!W38+AnalysisSal!W39+AnalysisBV!W39</f>
        <v>7023886.39762342</v>
      </c>
      <c r="W16" s="4">
        <f>AnalysisSVic!X38+AnalysisSal!X39+AnalysisBV!X39</f>
        <v>7384179.338408649</v>
      </c>
      <c r="X16" s="4">
        <f>AnalysisSVic!Y38+AnalysisSal!Y39+AnalysisBV!Y39</f>
        <v>7567785.439810285</v>
      </c>
      <c r="Y16" s="4">
        <f>AnalysisSVic!Z38+AnalysisSal!Z39+AnalysisBV!Z39</f>
        <v>7730911.201345444</v>
      </c>
    </row>
    <row r="18" ht="15">
      <c r="B18" t="s">
        <v>32</v>
      </c>
    </row>
    <row r="19" spans="2:25" ht="15">
      <c r="B19" t="s">
        <v>282</v>
      </c>
      <c r="J19" s="4">
        <f>J15-J10</f>
        <v>850.0006872096201</v>
      </c>
      <c r="K19" s="4">
        <f aca="true" t="shared" si="0" ref="K19:Y19">K15-K10</f>
        <v>932.9769447705585</v>
      </c>
      <c r="L19" s="4">
        <f t="shared" si="0"/>
        <v>1020.102015209548</v>
      </c>
      <c r="M19" s="4">
        <f t="shared" si="0"/>
        <v>1111.5833391704837</v>
      </c>
      <c r="N19" s="4">
        <f t="shared" si="0"/>
        <v>1207.6387293294647</v>
      </c>
      <c r="O19" s="4">
        <f t="shared" si="0"/>
        <v>1308.4968889964002</v>
      </c>
      <c r="P19" s="4">
        <f t="shared" si="0"/>
        <v>1414.397956646677</v>
      </c>
      <c r="Q19" s="4">
        <f t="shared" si="0"/>
        <v>1525.5940776794632</v>
      </c>
      <c r="R19" s="4">
        <f t="shared" si="0"/>
        <v>1642.3500047638954</v>
      </c>
      <c r="S19" s="4">
        <f t="shared" si="0"/>
        <v>1764.9437282025465</v>
      </c>
      <c r="T19" s="4">
        <f t="shared" si="0"/>
        <v>1893.6671378131286</v>
      </c>
      <c r="U19" s="4">
        <f t="shared" si="0"/>
        <v>2028.8267179042523</v>
      </c>
      <c r="V19" s="4">
        <f t="shared" si="0"/>
        <v>2170.7442769999216</v>
      </c>
      <c r="W19" s="4">
        <f t="shared" si="0"/>
        <v>2319.757714050378</v>
      </c>
      <c r="X19" s="4">
        <f t="shared" si="0"/>
        <v>1587.1739397439815</v>
      </c>
      <c r="Y19" s="4">
        <f t="shared" si="0"/>
        <v>1043.2292368993367</v>
      </c>
    </row>
    <row r="20" spans="2:25" ht="15">
      <c r="B20" t="s">
        <v>27</v>
      </c>
      <c r="J20" s="4">
        <f>J16-J11</f>
        <v>191071.03898518672</v>
      </c>
      <c r="K20" s="4">
        <f aca="true" t="shared" si="1" ref="K20:Y20">K16-K11</f>
        <v>209723.21183850244</v>
      </c>
      <c r="L20" s="4">
        <f t="shared" si="1"/>
        <v>229307.99333448522</v>
      </c>
      <c r="M20" s="4">
        <f t="shared" si="1"/>
        <v>249872.01390526537</v>
      </c>
      <c r="N20" s="4">
        <f t="shared" si="1"/>
        <v>271464.23550458625</v>
      </c>
      <c r="O20" s="4">
        <f t="shared" si="1"/>
        <v>294136.068183871</v>
      </c>
      <c r="P20" s="4">
        <f t="shared" si="1"/>
        <v>317941.492497121</v>
      </c>
      <c r="Q20" s="4">
        <f t="shared" si="1"/>
        <v>342937.1880260343</v>
      </c>
      <c r="R20" s="4">
        <f t="shared" si="1"/>
        <v>369182.6683313921</v>
      </c>
      <c r="S20" s="4">
        <f t="shared" si="1"/>
        <v>396740.42265201826</v>
      </c>
      <c r="T20" s="4">
        <f t="shared" si="1"/>
        <v>425676.0646886751</v>
      </c>
      <c r="U20" s="4">
        <f t="shared" si="1"/>
        <v>456058.4888271652</v>
      </c>
      <c r="V20" s="4">
        <f t="shared" si="1"/>
        <v>487960.0341725815</v>
      </c>
      <c r="W20" s="4">
        <f t="shared" si="1"/>
        <v>521456.6567852665</v>
      </c>
      <c r="X20" s="4">
        <f t="shared" si="1"/>
        <v>361926.62410573475</v>
      </c>
      <c r="Y20" s="4">
        <f t="shared" si="1"/>
        <v>243753.83877100237</v>
      </c>
    </row>
    <row r="21" spans="10:25" ht="15">
      <c r="J21" s="4"/>
      <c r="K21" s="4"/>
      <c r="L21" s="4"/>
      <c r="M21" s="4"/>
      <c r="N21" s="4"/>
      <c r="O21" s="4"/>
      <c r="P21" s="4"/>
      <c r="Q21" s="4"/>
      <c r="R21" s="4"/>
      <c r="S21" s="4"/>
      <c r="T21" s="4"/>
      <c r="U21" s="4"/>
      <c r="V21" s="4"/>
      <c r="W21" s="4"/>
      <c r="X21" s="4"/>
      <c r="Y21" s="4"/>
    </row>
    <row r="22" ht="15">
      <c r="B22" t="s">
        <v>286</v>
      </c>
    </row>
    <row r="23" spans="2:25" ht="15">
      <c r="B23" t="s">
        <v>282</v>
      </c>
      <c r="J23" s="3">
        <f>J19/J10</f>
        <v>0.05250000000000001</v>
      </c>
      <c r="K23" s="3">
        <f>K19/K10</f>
        <v>0.05488095238095235</v>
      </c>
      <c r="L23" s="3">
        <f aca="true" t="shared" si="2" ref="L23:Y23">L19/L10</f>
        <v>0.057148526077097674</v>
      </c>
      <c r="M23" s="3">
        <f t="shared" si="2"/>
        <v>0.059308120073426375</v>
      </c>
      <c r="N23" s="3">
        <f t="shared" si="2"/>
        <v>0.061364876260406</v>
      </c>
      <c r="O23" s="3">
        <f t="shared" si="2"/>
        <v>0.06332369167657736</v>
      </c>
      <c r="P23" s="3">
        <f t="shared" si="2"/>
        <v>0.06518923016816885</v>
      </c>
      <c r="Q23" s="3">
        <f t="shared" si="2"/>
        <v>0.0669659334934939</v>
      </c>
      <c r="R23" s="3">
        <f t="shared" si="2"/>
        <v>0.06865803189856566</v>
      </c>
      <c r="S23" s="3">
        <f t="shared" si="2"/>
        <v>0.07026955418911007</v>
      </c>
      <c r="T23" s="3">
        <f t="shared" si="2"/>
        <v>0.07180433732296185</v>
      </c>
      <c r="U23" s="3">
        <f t="shared" si="2"/>
        <v>0.07326603554567827</v>
      </c>
      <c r="V23" s="3">
        <f t="shared" si="2"/>
        <v>0.07465812909112211</v>
      </c>
      <c r="W23" s="3">
        <f t="shared" si="2"/>
        <v>0.07598393246773542</v>
      </c>
      <c r="X23" s="3">
        <f t="shared" si="2"/>
        <v>0.04951244393679329</v>
      </c>
      <c r="Y23" s="3">
        <f t="shared" si="2"/>
        <v>0.03132993701295145</v>
      </c>
    </row>
    <row r="24" spans="2:25" ht="15">
      <c r="B24" t="s">
        <v>27</v>
      </c>
      <c r="J24" s="3">
        <f>J20/J11</f>
        <v>0.05249999999999993</v>
      </c>
      <c r="K24" s="3">
        <f aca="true" t="shared" si="3" ref="K24:Y24">K20/K11</f>
        <v>0.054880952380952266</v>
      </c>
      <c r="L24" s="3">
        <f t="shared" si="3"/>
        <v>0.05714852607709769</v>
      </c>
      <c r="M24" s="3">
        <f t="shared" si="3"/>
        <v>0.059308120073426215</v>
      </c>
      <c r="N24" s="3">
        <f t="shared" si="3"/>
        <v>0.061364876260406175</v>
      </c>
      <c r="O24" s="3">
        <f t="shared" si="3"/>
        <v>0.06332369167657707</v>
      </c>
      <c r="P24" s="3">
        <f t="shared" si="3"/>
        <v>0.06518923016816862</v>
      </c>
      <c r="Q24" s="3">
        <f t="shared" si="3"/>
        <v>0.06696593349349406</v>
      </c>
      <c r="R24" s="3">
        <f t="shared" si="3"/>
        <v>0.0686580318985657</v>
      </c>
      <c r="S24" s="3">
        <f t="shared" si="3"/>
        <v>0.0702695541891102</v>
      </c>
      <c r="T24" s="3">
        <f t="shared" si="3"/>
        <v>0.071804337322962</v>
      </c>
      <c r="U24" s="3">
        <f t="shared" si="3"/>
        <v>0.07326603554567805</v>
      </c>
      <c r="V24" s="3">
        <f t="shared" si="3"/>
        <v>0.0746581290911222</v>
      </c>
      <c r="W24" s="3">
        <f t="shared" si="3"/>
        <v>0.07598393246773531</v>
      </c>
      <c r="X24" s="3">
        <f t="shared" si="3"/>
        <v>0.050226715976858544</v>
      </c>
      <c r="Y24" s="3">
        <f t="shared" si="3"/>
        <v>0.03255625960119906</v>
      </c>
    </row>
  </sheetData>
  <sheetProtection/>
  <mergeCells count="1">
    <mergeCell ref="B1:L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AE79"/>
  <sheetViews>
    <sheetView zoomScalePageLayoutView="0" workbookViewId="0" topLeftCell="A1">
      <selection activeCell="A1" sqref="A1"/>
    </sheetView>
  </sheetViews>
  <sheetFormatPr defaultColWidth="9.140625" defaultRowHeight="15"/>
  <cols>
    <col min="1" max="1" width="7.7109375" style="0" customWidth="1"/>
    <col min="2" max="2" width="45.57421875" style="0" bestFit="1" customWidth="1"/>
    <col min="5" max="5" width="10.00390625" style="0" bestFit="1" customWidth="1"/>
  </cols>
  <sheetData>
    <row r="1" spans="2:13" s="127" customFormat="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382"/>
      <c r="J1" s="382"/>
      <c r="K1" s="296"/>
      <c r="L1" s="296"/>
      <c r="M1" s="242" t="str">
        <f>'User''s Guide'!C1</f>
        <v>Last  Updated : 'September 2011</v>
      </c>
    </row>
    <row r="2" spans="1:7" s="133" customFormat="1" ht="20.25">
      <c r="A2" s="130"/>
      <c r="B2" s="131" t="s">
        <v>432</v>
      </c>
      <c r="C2" s="130"/>
      <c r="D2" s="130"/>
      <c r="E2" s="130"/>
      <c r="F2" s="130"/>
      <c r="G2" s="132"/>
    </row>
    <row r="3" spans="1:7" s="133" customFormat="1" ht="20.25" customHeight="1">
      <c r="A3" s="130"/>
      <c r="B3" s="134"/>
      <c r="C3" s="130"/>
      <c r="D3" s="130"/>
      <c r="E3" s="130"/>
      <c r="F3" s="130"/>
      <c r="G3" s="130"/>
    </row>
    <row r="4" ht="15">
      <c r="B4" s="12" t="s">
        <v>131</v>
      </c>
    </row>
    <row r="5" ht="15">
      <c r="B5" s="12" t="s">
        <v>23</v>
      </c>
    </row>
    <row r="6" ht="15">
      <c r="E6" s="268" t="s">
        <v>83</v>
      </c>
    </row>
    <row r="7" spans="2:6" ht="15">
      <c r="B7" t="s">
        <v>69</v>
      </c>
      <c r="E7" s="5">
        <f>Average_area_per_bed_ha</f>
        <v>0.045</v>
      </c>
      <c r="F7" s="270" t="s">
        <v>377</v>
      </c>
    </row>
    <row r="8" spans="2:10" ht="15">
      <c r="B8" t="s">
        <v>80</v>
      </c>
      <c r="E8" s="2">
        <f>E13/E15</f>
        <v>0.06825396825396825</v>
      </c>
      <c r="I8" s="4">
        <f>E9*E8</f>
        <v>319.5650793650793</v>
      </c>
      <c r="J8" t="s">
        <v>92</v>
      </c>
    </row>
    <row r="9" spans="2:10" ht="15">
      <c r="B9" t="s">
        <v>81</v>
      </c>
      <c r="E9" s="4">
        <v>4682</v>
      </c>
      <c r="F9" s="270" t="s">
        <v>82</v>
      </c>
      <c r="I9" s="4">
        <f>I8/E7</f>
        <v>7101.446208112874</v>
      </c>
      <c r="J9" t="s">
        <v>93</v>
      </c>
    </row>
    <row r="10" spans="2:5" ht="15">
      <c r="B10" t="s">
        <v>103</v>
      </c>
      <c r="E10" s="4"/>
    </row>
    <row r="11" spans="2:26" ht="15">
      <c r="B11" s="12" t="s">
        <v>29</v>
      </c>
      <c r="E11" s="297" t="s">
        <v>28</v>
      </c>
      <c r="F11" s="12">
        <v>0</v>
      </c>
      <c r="G11" s="12">
        <v>1</v>
      </c>
      <c r="H11" s="12">
        <v>2</v>
      </c>
      <c r="I11" s="12">
        <v>3</v>
      </c>
      <c r="J11" s="12">
        <v>4</v>
      </c>
      <c r="K11" s="12">
        <v>5</v>
      </c>
      <c r="L11" s="12">
        <v>6</v>
      </c>
      <c r="M11" s="12">
        <v>7</v>
      </c>
      <c r="N11" s="12">
        <v>8</v>
      </c>
      <c r="O11" s="12">
        <v>9</v>
      </c>
      <c r="P11" s="12">
        <v>10</v>
      </c>
      <c r="Q11" s="12">
        <v>11</v>
      </c>
      <c r="R11" s="12">
        <v>12</v>
      </c>
      <c r="S11" s="12">
        <v>13</v>
      </c>
      <c r="T11" s="12">
        <v>14</v>
      </c>
      <c r="U11" s="12">
        <v>15</v>
      </c>
      <c r="V11" s="12">
        <v>16</v>
      </c>
      <c r="W11" s="12">
        <v>17</v>
      </c>
      <c r="X11" s="12">
        <v>18</v>
      </c>
      <c r="Y11" s="12">
        <v>19</v>
      </c>
      <c r="Z11" s="12">
        <v>20</v>
      </c>
    </row>
    <row r="12" spans="5:31" ht="15">
      <c r="E12" s="298">
        <v>2010</v>
      </c>
      <c r="F12" s="298">
        <v>2011</v>
      </c>
      <c r="G12" s="298">
        <v>2012</v>
      </c>
      <c r="H12" s="298">
        <v>2013</v>
      </c>
      <c r="I12" s="298">
        <v>2014</v>
      </c>
      <c r="J12" s="298">
        <v>2015</v>
      </c>
      <c r="K12" s="298">
        <v>2016</v>
      </c>
      <c r="L12" s="298">
        <v>2017</v>
      </c>
      <c r="M12" s="298">
        <v>2018</v>
      </c>
      <c r="N12" s="298">
        <v>2019</v>
      </c>
      <c r="O12" s="298">
        <v>2020</v>
      </c>
      <c r="P12" s="298">
        <v>2021</v>
      </c>
      <c r="Q12" s="298">
        <v>2022</v>
      </c>
      <c r="R12" s="298">
        <v>2023</v>
      </c>
      <c r="S12" s="298">
        <v>2024</v>
      </c>
      <c r="T12" s="298">
        <v>2025</v>
      </c>
      <c r="U12" s="298">
        <v>2026</v>
      </c>
      <c r="V12" s="298">
        <v>2027</v>
      </c>
      <c r="W12" s="298">
        <v>2028</v>
      </c>
      <c r="X12" s="298">
        <v>2029</v>
      </c>
      <c r="Y12" s="298">
        <v>2030</v>
      </c>
      <c r="Z12" s="298">
        <v>2031</v>
      </c>
      <c r="AA12" s="8">
        <v>2032</v>
      </c>
      <c r="AB12" s="8">
        <v>2033</v>
      </c>
      <c r="AC12" s="8">
        <v>2034</v>
      </c>
      <c r="AD12" s="8">
        <v>2035</v>
      </c>
      <c r="AE12" s="8">
        <v>2036</v>
      </c>
    </row>
    <row r="13" spans="2:28" ht="15">
      <c r="B13" t="s">
        <v>68</v>
      </c>
      <c r="E13" s="4">
        <f>E17*E7</f>
        <v>38.699999999999996</v>
      </c>
      <c r="F13" s="4">
        <f aca="true" t="shared" si="0" ref="F13:AB13">F17*$E7</f>
        <v>41.3316</v>
      </c>
      <c r="G13" s="4">
        <f t="shared" si="0"/>
        <v>44.1421488</v>
      </c>
      <c r="H13" s="4">
        <f t="shared" si="0"/>
        <v>47.14381491840001</v>
      </c>
      <c r="I13" s="4">
        <f t="shared" si="0"/>
        <v>50.34959433285122</v>
      </c>
      <c r="J13" s="4">
        <f t="shared" si="0"/>
        <v>53.773366747485106</v>
      </c>
      <c r="K13" s="4">
        <f t="shared" si="0"/>
        <v>57.429955686314095</v>
      </c>
      <c r="L13" s="4">
        <f t="shared" si="0"/>
        <v>60.3014534706298</v>
      </c>
      <c r="M13" s="4">
        <f t="shared" si="0"/>
        <v>63.316526144161294</v>
      </c>
      <c r="N13" s="4">
        <f t="shared" si="0"/>
        <v>66.48235245136937</v>
      </c>
      <c r="O13" s="4">
        <f t="shared" si="0"/>
        <v>69.80647007393783</v>
      </c>
      <c r="P13" s="4">
        <f t="shared" si="0"/>
        <v>73.29679357763473</v>
      </c>
      <c r="Q13" s="4">
        <f t="shared" si="0"/>
        <v>76.96163325651646</v>
      </c>
      <c r="R13" s="4">
        <f t="shared" si="0"/>
        <v>80.8097149193423</v>
      </c>
      <c r="S13" s="4">
        <f t="shared" si="0"/>
        <v>84.85020066530942</v>
      </c>
      <c r="T13" s="4">
        <f t="shared" si="0"/>
        <v>89.09271069857489</v>
      </c>
      <c r="U13" s="4">
        <f t="shared" si="0"/>
        <v>93.54734623350365</v>
      </c>
      <c r="V13" s="4">
        <f t="shared" si="0"/>
        <v>98.22471354517883</v>
      </c>
      <c r="W13" s="4">
        <f t="shared" si="0"/>
        <v>103.13594922243779</v>
      </c>
      <c r="X13" s="4">
        <f t="shared" si="0"/>
        <v>108.29274668355968</v>
      </c>
      <c r="Y13" s="4">
        <f t="shared" si="0"/>
        <v>113.70738401773767</v>
      </c>
      <c r="Z13" s="4">
        <f t="shared" si="0"/>
        <v>119.39275321862456</v>
      </c>
      <c r="AA13" s="4">
        <f t="shared" si="0"/>
        <v>125.36239087955579</v>
      </c>
      <c r="AB13" s="4">
        <f t="shared" si="0"/>
        <v>131.6305104235336</v>
      </c>
    </row>
    <row r="14" spans="2:28" ht="15">
      <c r="B14" t="s">
        <v>70</v>
      </c>
      <c r="F14" s="4">
        <f aca="true" t="shared" si="1" ref="F14:AB14">F13-E13</f>
        <v>2.631600000000006</v>
      </c>
      <c r="G14" s="4">
        <f t="shared" si="1"/>
        <v>2.8105487999999994</v>
      </c>
      <c r="H14" s="4">
        <f t="shared" si="1"/>
        <v>3.00166611840001</v>
      </c>
      <c r="I14" s="4">
        <f t="shared" si="1"/>
        <v>3.2057794144512073</v>
      </c>
      <c r="J14" s="4">
        <f t="shared" si="1"/>
        <v>3.4237724146338877</v>
      </c>
      <c r="K14" s="4">
        <f t="shared" si="1"/>
        <v>3.656588938828989</v>
      </c>
      <c r="L14" s="4">
        <f t="shared" si="1"/>
        <v>2.8714977843157072</v>
      </c>
      <c r="M14" s="4">
        <f t="shared" si="1"/>
        <v>3.015072673531492</v>
      </c>
      <c r="N14" s="4">
        <f t="shared" si="1"/>
        <v>3.1658263072080715</v>
      </c>
      <c r="O14" s="4">
        <f t="shared" si="1"/>
        <v>3.3241176225684654</v>
      </c>
      <c r="P14" s="4">
        <f t="shared" si="1"/>
        <v>3.4903235036968994</v>
      </c>
      <c r="Q14" s="4">
        <f t="shared" si="1"/>
        <v>3.6648396788817337</v>
      </c>
      <c r="R14" s="4">
        <f t="shared" si="1"/>
        <v>3.848081662825834</v>
      </c>
      <c r="S14" s="4">
        <f t="shared" si="1"/>
        <v>4.040485745967118</v>
      </c>
      <c r="T14" s="4">
        <f t="shared" si="1"/>
        <v>4.242510033265475</v>
      </c>
      <c r="U14" s="4">
        <f t="shared" si="1"/>
        <v>4.454635534928755</v>
      </c>
      <c r="V14" s="4">
        <f t="shared" si="1"/>
        <v>4.677367311675184</v>
      </c>
      <c r="W14" s="4">
        <f t="shared" si="1"/>
        <v>4.911235677258958</v>
      </c>
      <c r="X14" s="4">
        <f t="shared" si="1"/>
        <v>5.156797461121897</v>
      </c>
      <c r="Y14" s="4">
        <f t="shared" si="1"/>
        <v>5.414637334177982</v>
      </c>
      <c r="Z14" s="4">
        <f t="shared" si="1"/>
        <v>5.685369200886896</v>
      </c>
      <c r="AA14" s="4">
        <f t="shared" si="1"/>
        <v>5.969637660931227</v>
      </c>
      <c r="AB14" s="4">
        <f t="shared" si="1"/>
        <v>6.268119543977804</v>
      </c>
    </row>
    <row r="15" spans="2:28" ht="15">
      <c r="B15" t="s">
        <v>79</v>
      </c>
      <c r="E15">
        <v>567</v>
      </c>
      <c r="F15" s="4">
        <f>F13/$E8</f>
        <v>605.556</v>
      </c>
      <c r="G15" s="4">
        <f aca="true" t="shared" si="2" ref="G15:AB15">G13/$E8</f>
        <v>646.7338080000001</v>
      </c>
      <c r="H15" s="4">
        <f t="shared" si="2"/>
        <v>690.7117069440002</v>
      </c>
      <c r="I15" s="4">
        <f t="shared" si="2"/>
        <v>737.6801030161923</v>
      </c>
      <c r="J15" s="4">
        <f t="shared" si="2"/>
        <v>787.8423500212934</v>
      </c>
      <c r="K15" s="4">
        <f t="shared" si="2"/>
        <v>841.4156298227415</v>
      </c>
      <c r="L15" s="4">
        <f t="shared" si="2"/>
        <v>883.4864113138785</v>
      </c>
      <c r="M15" s="4">
        <f t="shared" si="2"/>
        <v>927.6607318795725</v>
      </c>
      <c r="N15" s="4">
        <f t="shared" si="2"/>
        <v>974.0437684735513</v>
      </c>
      <c r="O15" s="4">
        <f t="shared" si="2"/>
        <v>1022.7459568972288</v>
      </c>
      <c r="P15" s="4">
        <f t="shared" si="2"/>
        <v>1073.8832547420902</v>
      </c>
      <c r="Q15" s="4">
        <f t="shared" si="2"/>
        <v>1127.5774174791948</v>
      </c>
      <c r="R15" s="4">
        <f t="shared" si="2"/>
        <v>1183.9562883531546</v>
      </c>
      <c r="S15" s="4">
        <f t="shared" si="2"/>
        <v>1243.1541027708124</v>
      </c>
      <c r="T15" s="4">
        <f t="shared" si="2"/>
        <v>1305.311807909353</v>
      </c>
      <c r="U15" s="4">
        <f t="shared" si="2"/>
        <v>1370.577398304821</v>
      </c>
      <c r="V15" s="4">
        <f t="shared" si="2"/>
        <v>1439.106268220062</v>
      </c>
      <c r="W15" s="4">
        <f t="shared" si="2"/>
        <v>1511.0615816310653</v>
      </c>
      <c r="X15" s="4">
        <f t="shared" si="2"/>
        <v>1586.6146607126188</v>
      </c>
      <c r="Y15" s="4">
        <f t="shared" si="2"/>
        <v>1665.9453937482497</v>
      </c>
      <c r="Z15" s="4">
        <f t="shared" si="2"/>
        <v>1749.2426634356623</v>
      </c>
      <c r="AA15" s="4">
        <f t="shared" si="2"/>
        <v>1836.7047966074454</v>
      </c>
      <c r="AB15" s="4">
        <f t="shared" si="2"/>
        <v>1928.540036437818</v>
      </c>
    </row>
    <row r="17" spans="2:31" ht="15">
      <c r="B17" t="s">
        <v>18</v>
      </c>
      <c r="E17">
        <v>860</v>
      </c>
      <c r="F17" s="4">
        <f>SVicData!W14</f>
        <v>918.48</v>
      </c>
      <c r="G17" s="4">
        <f>SVicData!X14</f>
        <v>980.9366400000001</v>
      </c>
      <c r="H17" s="4">
        <f>SVicData!Y14</f>
        <v>1047.6403315200002</v>
      </c>
      <c r="I17" s="4">
        <f>SVicData!Z14</f>
        <v>1118.8798740633604</v>
      </c>
      <c r="J17" s="4">
        <f>SVicData!AA14</f>
        <v>1194.963705499669</v>
      </c>
      <c r="K17" s="4">
        <f>IF(SVicData!AB14&gt;$I9,$I9,SVicData!AB14)</f>
        <v>1276.2212374736466</v>
      </c>
      <c r="L17" s="4">
        <f>IF(SVicData!AC14&gt;$I9,$I9,SVicData!AC14)</f>
        <v>1340.032299347329</v>
      </c>
      <c r="M17" s="4">
        <f>IF(SVicData!AD14&gt;$I9,$I9,SVicData!AD14)</f>
        <v>1407.0339143146955</v>
      </c>
      <c r="N17" s="4">
        <f>IF(SVicData!AE14&gt;$I9,$I9,SVicData!AE14)</f>
        <v>1477.3856100304304</v>
      </c>
      <c r="O17" s="4">
        <f>IF(SVicData!AF14&gt;$I9,$I9,SVicData!AF14)</f>
        <v>1551.254890531952</v>
      </c>
      <c r="P17" s="4">
        <f>IF(SVicData!AG14&gt;$I9,$I9,SVicData!AG14)</f>
        <v>1628.8176350585497</v>
      </c>
      <c r="Q17" s="4">
        <f>IF(SVicData!AH14&gt;$I9,$I9,SVicData!AH14)</f>
        <v>1710.2585168114772</v>
      </c>
      <c r="R17" s="4">
        <f>IF(SVicData!AI14&gt;$I9,$I9,SVicData!AI14)</f>
        <v>1795.771442652051</v>
      </c>
      <c r="S17" s="4">
        <f>IF(SVicData!AJ14&gt;$I9,$I9,SVicData!AJ14)</f>
        <v>1885.5600147846537</v>
      </c>
      <c r="T17" s="4">
        <f>IF(SVicData!AK14&gt;$I9,$I9,SVicData!AK14)</f>
        <v>1979.8380155238865</v>
      </c>
      <c r="U17" s="4">
        <f>IF(SVicData!AL14&gt;$I9,$I9,SVicData!AL14)</f>
        <v>2078.829916300081</v>
      </c>
      <c r="V17" s="4">
        <f>IF(SVicData!AM14&gt;$I9,$I9,SVicData!AM14)</f>
        <v>2182.7714121150852</v>
      </c>
      <c r="W17" s="4">
        <f>IF(SVicData!AN14&gt;$I9,$I9,SVicData!AN14)</f>
        <v>2291.9099827208397</v>
      </c>
      <c r="X17" s="4">
        <f>IF(SVicData!AO14&gt;$I9,$I9,SVicData!AO14)</f>
        <v>2406.505481856882</v>
      </c>
      <c r="Y17" s="4">
        <f>IF(SVicData!AP14&gt;$I9,$I9,SVicData!AP14)</f>
        <v>2526.830755949726</v>
      </c>
      <c r="Z17" s="4">
        <f>IF(SVicData!AQ14&gt;$I9,$I9,SVicData!AQ14)</f>
        <v>2653.1722937472127</v>
      </c>
      <c r="AA17" s="4">
        <f>IF(SVicData!AR14&gt;$I9,$I9,SVicData!AR14)</f>
        <v>2785.8309084345733</v>
      </c>
      <c r="AB17" s="4">
        <f>IF(SVicData!AS14&gt;$I9,$I9,SVicData!AS14)</f>
        <v>2925.122453856302</v>
      </c>
      <c r="AC17" s="4">
        <f>AB17</f>
        <v>2925.122453856302</v>
      </c>
      <c r="AD17" s="4">
        <f>AC17</f>
        <v>2925.122453856302</v>
      </c>
      <c r="AE17" s="4">
        <f>AD17</f>
        <v>2925.122453856302</v>
      </c>
    </row>
    <row r="18" spans="2:31" ht="15">
      <c r="B18" t="s">
        <v>32</v>
      </c>
      <c r="F18" s="4">
        <f>F17-E17</f>
        <v>58.48000000000002</v>
      </c>
      <c r="G18" s="4">
        <f aca="true" t="shared" si="3" ref="G18:AE18">G17-F17</f>
        <v>62.45664000000011</v>
      </c>
      <c r="H18" s="4">
        <f t="shared" si="3"/>
        <v>66.70369152000012</v>
      </c>
      <c r="I18" s="4">
        <f t="shared" si="3"/>
        <v>71.23954254336013</v>
      </c>
      <c r="J18" s="4">
        <f t="shared" si="3"/>
        <v>76.08383143630863</v>
      </c>
      <c r="K18" s="4">
        <f t="shared" si="3"/>
        <v>81.25753197397762</v>
      </c>
      <c r="L18" s="4">
        <f t="shared" si="3"/>
        <v>63.81106187368232</v>
      </c>
      <c r="M18" s="4">
        <f t="shared" si="3"/>
        <v>67.00161496736655</v>
      </c>
      <c r="N18" s="4">
        <f t="shared" si="3"/>
        <v>70.35169571573488</v>
      </c>
      <c r="O18" s="4">
        <f t="shared" si="3"/>
        <v>73.86928050152164</v>
      </c>
      <c r="P18" s="4">
        <f t="shared" si="3"/>
        <v>77.56274452659773</v>
      </c>
      <c r="Q18" s="4">
        <f t="shared" si="3"/>
        <v>81.44088175292745</v>
      </c>
      <c r="R18" s="4">
        <f t="shared" si="3"/>
        <v>85.51292584057387</v>
      </c>
      <c r="S18" s="4">
        <f t="shared" si="3"/>
        <v>89.78857213260267</v>
      </c>
      <c r="T18" s="4">
        <f t="shared" si="3"/>
        <v>94.27800073923277</v>
      </c>
      <c r="U18" s="4">
        <f t="shared" si="3"/>
        <v>98.9919007761946</v>
      </c>
      <c r="V18" s="4">
        <f t="shared" si="3"/>
        <v>103.94149581500415</v>
      </c>
      <c r="W18" s="4">
        <f t="shared" si="3"/>
        <v>109.13857060575447</v>
      </c>
      <c r="X18" s="4">
        <f t="shared" si="3"/>
        <v>114.59549913604224</v>
      </c>
      <c r="Y18" s="4">
        <f t="shared" si="3"/>
        <v>120.32527409284421</v>
      </c>
      <c r="Z18" s="4">
        <f>Z17-Y17</f>
        <v>126.34153779748658</v>
      </c>
      <c r="AA18" s="4">
        <f t="shared" si="3"/>
        <v>132.65861468736057</v>
      </c>
      <c r="AB18" s="4">
        <f t="shared" si="3"/>
        <v>139.29154542172864</v>
      </c>
      <c r="AC18" s="4">
        <f t="shared" si="3"/>
        <v>0</v>
      </c>
      <c r="AD18" s="4">
        <f t="shared" si="3"/>
        <v>0</v>
      </c>
      <c r="AE18" s="4">
        <f t="shared" si="3"/>
        <v>0</v>
      </c>
    </row>
    <row r="19" spans="2:31" ht="15">
      <c r="B19" t="s">
        <v>17</v>
      </c>
      <c r="F19" s="3">
        <f>F18/E17</f>
        <v>0.06800000000000002</v>
      </c>
      <c r="G19" s="3">
        <f aca="true" t="shared" si="4" ref="G19:Z19">G18/F17</f>
        <v>0.06800000000000012</v>
      </c>
      <c r="H19" s="3">
        <f t="shared" si="4"/>
        <v>0.06800000000000012</v>
      </c>
      <c r="I19" s="3">
        <f t="shared" si="4"/>
        <v>0.0680000000000001</v>
      </c>
      <c r="J19" s="3">
        <f t="shared" si="4"/>
        <v>0.06800000000000012</v>
      </c>
      <c r="K19" s="3">
        <f t="shared" si="4"/>
        <v>0.0680000000000001</v>
      </c>
      <c r="L19" s="3">
        <f t="shared" si="4"/>
        <v>0.04999999999999999</v>
      </c>
      <c r="M19" s="3">
        <f t="shared" si="4"/>
        <v>0.05000000000000008</v>
      </c>
      <c r="N19" s="3">
        <f t="shared" si="4"/>
        <v>0.05000000000000007</v>
      </c>
      <c r="O19" s="3">
        <f t="shared" si="4"/>
        <v>0.050000000000000086</v>
      </c>
      <c r="P19" s="3">
        <f t="shared" si="4"/>
        <v>0.05000000000000008</v>
      </c>
      <c r="Q19" s="3">
        <f t="shared" si="4"/>
        <v>0.04999999999999998</v>
      </c>
      <c r="R19" s="3">
        <f t="shared" si="4"/>
        <v>0.05000000000000001</v>
      </c>
      <c r="S19" s="3">
        <f t="shared" si="4"/>
        <v>0.050000000000000065</v>
      </c>
      <c r="T19" s="3">
        <f t="shared" si="4"/>
        <v>0.050000000000000044</v>
      </c>
      <c r="U19" s="3">
        <f t="shared" si="4"/>
        <v>0.050000000000000135</v>
      </c>
      <c r="V19" s="3">
        <f t="shared" si="4"/>
        <v>0.050000000000000044</v>
      </c>
      <c r="W19" s="3">
        <f t="shared" si="4"/>
        <v>0.05000000000000009</v>
      </c>
      <c r="X19" s="3">
        <f t="shared" si="4"/>
        <v>0.05000000000000011</v>
      </c>
      <c r="Y19" s="3">
        <f t="shared" si="4"/>
        <v>0.050000000000000044</v>
      </c>
      <c r="Z19" s="3">
        <f t="shared" si="4"/>
        <v>0.05000000000000011</v>
      </c>
      <c r="AA19" s="4"/>
      <c r="AB19" s="4"/>
      <c r="AC19" s="4"/>
      <c r="AD19" s="4"/>
      <c r="AE19" s="4"/>
    </row>
    <row r="20" spans="2:26" ht="15">
      <c r="B20" t="s">
        <v>27</v>
      </c>
      <c r="E20" s="4">
        <f aca="true" t="shared" si="5" ref="E20:Z20">E17*365*SVicOccupancy</f>
        <v>125560</v>
      </c>
      <c r="F20" s="4">
        <f t="shared" si="5"/>
        <v>134098.08000000002</v>
      </c>
      <c r="G20" s="4">
        <f t="shared" si="5"/>
        <v>143216.74944</v>
      </c>
      <c r="H20" s="4">
        <f t="shared" si="5"/>
        <v>152955.48840192004</v>
      </c>
      <c r="I20" s="4">
        <f t="shared" si="5"/>
        <v>163356.46161325063</v>
      </c>
      <c r="J20" s="4">
        <f t="shared" si="5"/>
        <v>174464.70100295168</v>
      </c>
      <c r="K20" s="4">
        <f t="shared" si="5"/>
        <v>186328.30067115242</v>
      </c>
      <c r="L20" s="4">
        <f t="shared" si="5"/>
        <v>195644.71570471005</v>
      </c>
      <c r="M20" s="4">
        <f t="shared" si="5"/>
        <v>205426.95148994555</v>
      </c>
      <c r="N20" s="4">
        <f t="shared" si="5"/>
        <v>215698.29906444286</v>
      </c>
      <c r="O20" s="4">
        <f t="shared" si="5"/>
        <v>226483.214017665</v>
      </c>
      <c r="P20" s="4">
        <f t="shared" si="5"/>
        <v>237807.37471854826</v>
      </c>
      <c r="Q20" s="4">
        <f t="shared" si="5"/>
        <v>249697.74345447565</v>
      </c>
      <c r="R20" s="4">
        <f t="shared" si="5"/>
        <v>262182.6306271995</v>
      </c>
      <c r="S20" s="4">
        <f t="shared" si="5"/>
        <v>275291.76215855946</v>
      </c>
      <c r="T20" s="4">
        <f t="shared" si="5"/>
        <v>289056.35026648745</v>
      </c>
      <c r="U20" s="4">
        <f t="shared" si="5"/>
        <v>303509.16777981183</v>
      </c>
      <c r="V20" s="4">
        <f t="shared" si="5"/>
        <v>318684.62616880244</v>
      </c>
      <c r="W20" s="4">
        <f t="shared" si="5"/>
        <v>334618.8574772426</v>
      </c>
      <c r="X20" s="4">
        <f t="shared" si="5"/>
        <v>351349.80035110476</v>
      </c>
      <c r="Y20" s="4">
        <f t="shared" si="5"/>
        <v>368917.29036866006</v>
      </c>
      <c r="Z20" s="4">
        <f t="shared" si="5"/>
        <v>387363.15488709306</v>
      </c>
    </row>
    <row r="21" spans="2:26" ht="15">
      <c r="B21" t="s">
        <v>26</v>
      </c>
      <c r="E21" s="7">
        <f aca="true" t="shared" si="6" ref="E21:Z21">E20*SalTourVA</f>
        <v>583781112.42</v>
      </c>
      <c r="F21" s="7">
        <f t="shared" si="6"/>
        <v>623478228.06456</v>
      </c>
      <c r="G21" s="7">
        <f t="shared" si="6"/>
        <v>665874747.5729501</v>
      </c>
      <c r="H21" s="7">
        <f t="shared" si="6"/>
        <v>711154230.4079108</v>
      </c>
      <c r="I21" s="7">
        <f t="shared" si="6"/>
        <v>759512718.0756489</v>
      </c>
      <c r="J21" s="7">
        <f>J20*SalTourVA</f>
        <v>811159582.9047931</v>
      </c>
      <c r="K21" s="7">
        <f t="shared" si="6"/>
        <v>866318434.5423192</v>
      </c>
      <c r="L21" s="7">
        <f t="shared" si="6"/>
        <v>909634356.2694352</v>
      </c>
      <c r="M21" s="7">
        <f t="shared" si="6"/>
        <v>955116074.082907</v>
      </c>
      <c r="N21" s="7">
        <f t="shared" si="6"/>
        <v>1002871877.7870524</v>
      </c>
      <c r="O21" s="7">
        <f t="shared" si="6"/>
        <v>1053015471.6764051</v>
      </c>
      <c r="P21" s="7">
        <f t="shared" si="6"/>
        <v>1105666245.2602253</v>
      </c>
      <c r="Q21" s="7">
        <f t="shared" si="6"/>
        <v>1160949557.5232365</v>
      </c>
      <c r="R21" s="7">
        <f t="shared" si="6"/>
        <v>1218997035.3993986</v>
      </c>
      <c r="S21" s="7">
        <f t="shared" si="6"/>
        <v>1279946887.1693685</v>
      </c>
      <c r="T21" s="7">
        <f t="shared" si="6"/>
        <v>1343944231.527837</v>
      </c>
      <c r="U21" s="7">
        <f t="shared" si="6"/>
        <v>1411141443.1042287</v>
      </c>
      <c r="V21" s="7">
        <f t="shared" si="6"/>
        <v>1481698515.2594404</v>
      </c>
      <c r="W21" s="7">
        <f t="shared" si="6"/>
        <v>1555783441.0224125</v>
      </c>
      <c r="X21" s="7">
        <f t="shared" si="6"/>
        <v>1633572613.0735333</v>
      </c>
      <c r="Y21" s="7">
        <f t="shared" si="6"/>
        <v>1715251243.7272103</v>
      </c>
      <c r="Z21" s="7">
        <f t="shared" si="6"/>
        <v>1801013805.9135706</v>
      </c>
    </row>
    <row r="22" spans="2:26" ht="15">
      <c r="B22" t="s">
        <v>40</v>
      </c>
      <c r="E22" s="7">
        <f aca="true" t="shared" si="7" ref="E22:Z22">E21/exrate</f>
        <v>7581572.888571428</v>
      </c>
      <c r="F22" s="7">
        <f t="shared" si="7"/>
        <v>8097119.844994286</v>
      </c>
      <c r="G22" s="7">
        <f t="shared" si="7"/>
        <v>8647723.994453898</v>
      </c>
      <c r="H22" s="7">
        <f t="shared" si="7"/>
        <v>9235769.226076763</v>
      </c>
      <c r="I22" s="7">
        <f t="shared" si="7"/>
        <v>9863801.533449985</v>
      </c>
      <c r="J22" s="7">
        <f t="shared" si="7"/>
        <v>10534540.037724586</v>
      </c>
      <c r="K22" s="7">
        <f t="shared" si="7"/>
        <v>11250888.760289859</v>
      </c>
      <c r="L22" s="7">
        <f t="shared" si="7"/>
        <v>11813433.198304353</v>
      </c>
      <c r="M22" s="7">
        <f t="shared" si="7"/>
        <v>12404104.858219571</v>
      </c>
      <c r="N22" s="7">
        <f t="shared" si="7"/>
        <v>13024310.10113055</v>
      </c>
      <c r="O22" s="7">
        <f t="shared" si="7"/>
        <v>13675525.60618708</v>
      </c>
      <c r="P22" s="7">
        <f t="shared" si="7"/>
        <v>14359301.886496432</v>
      </c>
      <c r="Q22" s="7">
        <f t="shared" si="7"/>
        <v>15077266.980821254</v>
      </c>
      <c r="R22" s="7">
        <f t="shared" si="7"/>
        <v>15831130.329862319</v>
      </c>
      <c r="S22" s="7">
        <f t="shared" si="7"/>
        <v>16622686.846355435</v>
      </c>
      <c r="T22" s="7">
        <f t="shared" si="7"/>
        <v>17453821.18867321</v>
      </c>
      <c r="U22" s="7">
        <f t="shared" si="7"/>
        <v>18326512.248106867</v>
      </c>
      <c r="V22" s="7">
        <f t="shared" si="7"/>
        <v>19242837.860512212</v>
      </c>
      <c r="W22" s="7">
        <f t="shared" si="7"/>
        <v>20204979.753537826</v>
      </c>
      <c r="X22" s="7">
        <f t="shared" si="7"/>
        <v>21215228.74121472</v>
      </c>
      <c r="Y22" s="7">
        <f t="shared" si="7"/>
        <v>22275990.17827546</v>
      </c>
      <c r="Z22" s="7">
        <f t="shared" si="7"/>
        <v>23389789.68718923</v>
      </c>
    </row>
    <row r="23" spans="2:26" ht="15">
      <c r="B23" t="s">
        <v>45</v>
      </c>
      <c r="E23" s="7"/>
      <c r="F23" s="7">
        <f aca="true" t="shared" si="8" ref="F23:Z23">F14*ConstructC*ConstructVA</f>
        <v>151974900.00000033</v>
      </c>
      <c r="G23" s="7">
        <f t="shared" si="8"/>
        <v>162309193.19999996</v>
      </c>
      <c r="H23" s="7">
        <f t="shared" si="8"/>
        <v>173346218.3376006</v>
      </c>
      <c r="I23" s="7">
        <f t="shared" si="8"/>
        <v>185133761.18455723</v>
      </c>
      <c r="J23" s="7">
        <f t="shared" si="8"/>
        <v>197722856.945107</v>
      </c>
      <c r="K23" s="7">
        <f t="shared" si="8"/>
        <v>211168011.21737412</v>
      </c>
      <c r="L23" s="7">
        <f t="shared" si="8"/>
        <v>165828997.0442321</v>
      </c>
      <c r="M23" s="7">
        <f t="shared" si="8"/>
        <v>174120446.89644367</v>
      </c>
      <c r="N23" s="7">
        <f t="shared" si="8"/>
        <v>182826469.24126613</v>
      </c>
      <c r="O23" s="7">
        <f t="shared" si="8"/>
        <v>191967792.70332888</v>
      </c>
      <c r="P23" s="7">
        <f t="shared" si="8"/>
        <v>201566182.33849594</v>
      </c>
      <c r="Q23" s="7">
        <f t="shared" si="8"/>
        <v>211644491.4554201</v>
      </c>
      <c r="R23" s="7">
        <f t="shared" si="8"/>
        <v>222226716.0281919</v>
      </c>
      <c r="S23" s="7">
        <f t="shared" si="8"/>
        <v>233338051.82960105</v>
      </c>
      <c r="T23" s="7">
        <f t="shared" si="8"/>
        <v>245004954.4210812</v>
      </c>
      <c r="U23" s="7">
        <f t="shared" si="8"/>
        <v>257255202.14213562</v>
      </c>
      <c r="V23" s="7">
        <f t="shared" si="8"/>
        <v>270117962.2492419</v>
      </c>
      <c r="W23" s="7">
        <f t="shared" si="8"/>
        <v>283623860.3617048</v>
      </c>
      <c r="X23" s="7">
        <f t="shared" si="8"/>
        <v>297805053.3797896</v>
      </c>
      <c r="Y23" s="7">
        <f t="shared" si="8"/>
        <v>312695306.0487785</v>
      </c>
      <c r="Z23" s="7">
        <f t="shared" si="8"/>
        <v>328330071.3512182</v>
      </c>
    </row>
    <row r="24" spans="2:31" ht="15">
      <c r="B24" s="8" t="s">
        <v>46</v>
      </c>
      <c r="C24" s="8"/>
      <c r="D24" s="8"/>
      <c r="E24" s="15"/>
      <c r="F24" s="15">
        <f aca="true" t="shared" si="9" ref="F24:Z24">F23/exrate</f>
        <v>1973700.0000000042</v>
      </c>
      <c r="G24" s="15">
        <f t="shared" si="9"/>
        <v>2107911.5999999996</v>
      </c>
      <c r="H24" s="15">
        <f t="shared" si="9"/>
        <v>2251249.5888000075</v>
      </c>
      <c r="I24" s="15">
        <f t="shared" si="9"/>
        <v>2404334.5608384055</v>
      </c>
      <c r="J24" s="15">
        <f t="shared" si="9"/>
        <v>2567829.3109754156</v>
      </c>
      <c r="K24" s="15">
        <f t="shared" si="9"/>
        <v>2742441.704121742</v>
      </c>
      <c r="L24" s="15">
        <f t="shared" si="9"/>
        <v>2153623.3382367804</v>
      </c>
      <c r="M24" s="15">
        <f t="shared" si="9"/>
        <v>2261304.505148619</v>
      </c>
      <c r="N24" s="15">
        <f t="shared" si="9"/>
        <v>2374369.730406054</v>
      </c>
      <c r="O24" s="15">
        <f t="shared" si="9"/>
        <v>2493088.216926349</v>
      </c>
      <c r="P24" s="15">
        <f t="shared" si="9"/>
        <v>2617742.6277726744</v>
      </c>
      <c r="Q24" s="15">
        <f t="shared" si="9"/>
        <v>2748629.7591613</v>
      </c>
      <c r="R24" s="15">
        <f t="shared" si="9"/>
        <v>2886061.247119375</v>
      </c>
      <c r="S24" s="15">
        <f t="shared" si="9"/>
        <v>3030364.309475338</v>
      </c>
      <c r="T24" s="15">
        <f t="shared" si="9"/>
        <v>3181882.5249491064</v>
      </c>
      <c r="U24" s="15">
        <f t="shared" si="9"/>
        <v>3340976.6511965664</v>
      </c>
      <c r="V24" s="15">
        <f t="shared" si="9"/>
        <v>3508025.483756388</v>
      </c>
      <c r="W24" s="15">
        <f t="shared" si="9"/>
        <v>3683426.7579442183</v>
      </c>
      <c r="X24" s="15">
        <f t="shared" si="9"/>
        <v>3867598.095841423</v>
      </c>
      <c r="Y24" s="15">
        <f t="shared" si="9"/>
        <v>4060978.0006334865</v>
      </c>
      <c r="Z24" s="15">
        <f t="shared" si="9"/>
        <v>4264026.900665171</v>
      </c>
      <c r="AA24" s="8"/>
      <c r="AB24" s="8"/>
      <c r="AC24" s="8"/>
      <c r="AD24" s="8"/>
      <c r="AE24" s="8"/>
    </row>
    <row r="25" spans="2:26" ht="15">
      <c r="B25" t="s">
        <v>47</v>
      </c>
      <c r="E25" s="7">
        <f>E21+E23</f>
        <v>583781112.42</v>
      </c>
      <c r="F25" s="7">
        <f>F21+F23</f>
        <v>775453128.0645604</v>
      </c>
      <c r="G25" s="7">
        <f aca="true" t="shared" si="10" ref="G25:Z26">G21+G23</f>
        <v>828183940.77295</v>
      </c>
      <c r="H25" s="7">
        <f t="shared" si="10"/>
        <v>884500448.7455114</v>
      </c>
      <c r="I25" s="7">
        <f t="shared" si="10"/>
        <v>944646479.2602061</v>
      </c>
      <c r="J25" s="7">
        <f t="shared" si="10"/>
        <v>1008882439.8499001</v>
      </c>
      <c r="K25" s="7">
        <f t="shared" si="10"/>
        <v>1077486445.7596934</v>
      </c>
      <c r="L25" s="7">
        <f t="shared" si="10"/>
        <v>1075463353.3136673</v>
      </c>
      <c r="M25" s="7">
        <f t="shared" si="10"/>
        <v>1129236520.9793506</v>
      </c>
      <c r="N25" s="7">
        <f t="shared" si="10"/>
        <v>1185698347.0283184</v>
      </c>
      <c r="O25" s="7">
        <f t="shared" si="10"/>
        <v>1244983264.379734</v>
      </c>
      <c r="P25" s="7">
        <f t="shared" si="10"/>
        <v>1307232427.5987213</v>
      </c>
      <c r="Q25" s="7">
        <f t="shared" si="10"/>
        <v>1372594048.9786565</v>
      </c>
      <c r="R25" s="7">
        <f t="shared" si="10"/>
        <v>1441223751.4275904</v>
      </c>
      <c r="S25" s="7">
        <f t="shared" si="10"/>
        <v>1513284938.9989696</v>
      </c>
      <c r="T25" s="7">
        <f t="shared" si="10"/>
        <v>1588949185.9489183</v>
      </c>
      <c r="U25" s="7">
        <f t="shared" si="10"/>
        <v>1668396645.2463644</v>
      </c>
      <c r="V25" s="7">
        <f t="shared" si="10"/>
        <v>1751816477.5086823</v>
      </c>
      <c r="W25" s="7">
        <f t="shared" si="10"/>
        <v>1839407301.3841174</v>
      </c>
      <c r="X25" s="7">
        <f t="shared" si="10"/>
        <v>1931377666.453323</v>
      </c>
      <c r="Y25" s="7">
        <f t="shared" si="10"/>
        <v>2027946549.7759888</v>
      </c>
      <c r="Z25" s="7">
        <f t="shared" si="10"/>
        <v>2129343877.2647889</v>
      </c>
    </row>
    <row r="26" spans="2:26" ht="15">
      <c r="B26" t="s">
        <v>48</v>
      </c>
      <c r="E26" s="7">
        <f>E22+E24</f>
        <v>7581572.888571428</v>
      </c>
      <c r="F26" s="7">
        <f>F22+F24</f>
        <v>10070819.84499429</v>
      </c>
      <c r="G26" s="7">
        <f t="shared" si="10"/>
        <v>10755635.594453897</v>
      </c>
      <c r="H26" s="7">
        <f t="shared" si="10"/>
        <v>11487018.81487677</v>
      </c>
      <c r="I26" s="7">
        <f t="shared" si="10"/>
        <v>12268136.09428839</v>
      </c>
      <c r="J26" s="7">
        <f t="shared" si="10"/>
        <v>13102369.348700002</v>
      </c>
      <c r="K26" s="7">
        <f t="shared" si="10"/>
        <v>13993330.464411601</v>
      </c>
      <c r="L26" s="7">
        <f t="shared" si="10"/>
        <v>13967056.536541134</v>
      </c>
      <c r="M26" s="7">
        <f t="shared" si="10"/>
        <v>14665409.36336819</v>
      </c>
      <c r="N26" s="7">
        <f t="shared" si="10"/>
        <v>15398679.831536604</v>
      </c>
      <c r="O26" s="7">
        <f t="shared" si="10"/>
        <v>16168613.823113428</v>
      </c>
      <c r="P26" s="7">
        <f t="shared" si="10"/>
        <v>16977044.514269106</v>
      </c>
      <c r="Q26" s="7">
        <f t="shared" si="10"/>
        <v>17825896.739982553</v>
      </c>
      <c r="R26" s="7">
        <f t="shared" si="10"/>
        <v>18717191.576981694</v>
      </c>
      <c r="S26" s="7">
        <f t="shared" si="10"/>
        <v>19653051.15583077</v>
      </c>
      <c r="T26" s="7">
        <f t="shared" si="10"/>
        <v>20635703.713622317</v>
      </c>
      <c r="U26" s="7">
        <f t="shared" si="10"/>
        <v>21667488.899303433</v>
      </c>
      <c r="V26" s="7">
        <f t="shared" si="10"/>
        <v>22750863.3442686</v>
      </c>
      <c r="W26" s="7">
        <f t="shared" si="10"/>
        <v>23888406.511482045</v>
      </c>
      <c r="X26" s="7">
        <f t="shared" si="10"/>
        <v>25082826.83705614</v>
      </c>
      <c r="Y26" s="7">
        <f t="shared" si="10"/>
        <v>26336968.178908944</v>
      </c>
      <c r="Z26" s="7">
        <f t="shared" si="10"/>
        <v>27653816.5878544</v>
      </c>
    </row>
    <row r="28" spans="2:26" ht="15">
      <c r="B28" s="12" t="s">
        <v>30</v>
      </c>
      <c r="E28" s="297" t="s">
        <v>28</v>
      </c>
      <c r="F28" s="12">
        <v>0</v>
      </c>
      <c r="G28" s="12">
        <v>1</v>
      </c>
      <c r="H28" s="12">
        <v>2</v>
      </c>
      <c r="I28" s="12">
        <v>3</v>
      </c>
      <c r="J28" s="12">
        <v>4</v>
      </c>
      <c r="K28" s="12">
        <v>5</v>
      </c>
      <c r="L28" s="12">
        <v>6</v>
      </c>
      <c r="M28" s="12">
        <v>7</v>
      </c>
      <c r="N28" s="12">
        <v>8</v>
      </c>
      <c r="O28" s="12">
        <v>9</v>
      </c>
      <c r="P28" s="12">
        <v>10</v>
      </c>
      <c r="Q28" s="12">
        <v>11</v>
      </c>
      <c r="R28" s="12">
        <v>12</v>
      </c>
      <c r="S28" s="12">
        <v>13</v>
      </c>
      <c r="T28" s="12">
        <v>14</v>
      </c>
      <c r="U28" s="12">
        <v>15</v>
      </c>
      <c r="V28" s="12">
        <v>16</v>
      </c>
      <c r="W28" s="12">
        <v>17</v>
      </c>
      <c r="X28" s="12">
        <v>18</v>
      </c>
      <c r="Y28" s="12">
        <v>19</v>
      </c>
      <c r="Z28" s="12">
        <v>20</v>
      </c>
    </row>
    <row r="29" spans="5:26" ht="15">
      <c r="E29" s="298">
        <v>2010</v>
      </c>
      <c r="F29" s="298">
        <v>2011</v>
      </c>
      <c r="G29" s="298">
        <v>2012</v>
      </c>
      <c r="H29" s="298">
        <v>2013</v>
      </c>
      <c r="I29" s="298">
        <v>2014</v>
      </c>
      <c r="J29" s="298">
        <v>2015</v>
      </c>
      <c r="K29" s="298">
        <v>2016</v>
      </c>
      <c r="L29" s="298">
        <v>2017</v>
      </c>
      <c r="M29" s="298">
        <v>2018</v>
      </c>
      <c r="N29" s="298">
        <v>2019</v>
      </c>
      <c r="O29" s="298">
        <v>2020</v>
      </c>
      <c r="P29" s="298">
        <v>2021</v>
      </c>
      <c r="Q29" s="298">
        <v>2022</v>
      </c>
      <c r="R29" s="298">
        <v>2023</v>
      </c>
      <c r="S29" s="298">
        <v>2024</v>
      </c>
      <c r="T29" s="298">
        <v>2025</v>
      </c>
      <c r="U29" s="298">
        <v>2026</v>
      </c>
      <c r="V29" s="298">
        <v>2027</v>
      </c>
      <c r="W29" s="298">
        <v>2028</v>
      </c>
      <c r="X29" s="298">
        <v>2029</v>
      </c>
      <c r="Y29" s="298">
        <v>2030</v>
      </c>
      <c r="Z29" s="298">
        <v>2031</v>
      </c>
    </row>
    <row r="30" spans="2:4" ht="15">
      <c r="B30" t="s">
        <v>31</v>
      </c>
      <c r="D30" s="355"/>
    </row>
    <row r="31" spans="2:28" ht="15">
      <c r="B31" t="s">
        <v>68</v>
      </c>
      <c r="E31" s="4">
        <f aca="true" t="shared" si="11" ref="E31:Y31">E35*$E7</f>
        <v>38.699999999999996</v>
      </c>
      <c r="F31" s="4">
        <f t="shared" si="11"/>
        <v>41.3316</v>
      </c>
      <c r="G31" s="4">
        <f t="shared" si="11"/>
        <v>44.1421488</v>
      </c>
      <c r="H31" s="4">
        <f t="shared" si="11"/>
        <v>47.14381491840001</v>
      </c>
      <c r="I31" s="4">
        <f t="shared" si="11"/>
        <v>50.34959433285122</v>
      </c>
      <c r="J31" s="4">
        <f t="shared" si="11"/>
        <v>53.773366747485106</v>
      </c>
      <c r="K31" s="4">
        <f t="shared" si="11"/>
        <v>60.445028359845594</v>
      </c>
      <c r="L31" s="4">
        <f t="shared" si="11"/>
        <v>63.61085466705366</v>
      </c>
      <c r="M31" s="4">
        <f t="shared" si="11"/>
        <v>66.93497228962214</v>
      </c>
      <c r="N31" s="4">
        <f t="shared" si="11"/>
        <v>70.42529579331904</v>
      </c>
      <c r="O31" s="4">
        <f t="shared" si="11"/>
        <v>74.09013547220077</v>
      </c>
      <c r="P31" s="4">
        <f t="shared" si="11"/>
        <v>77.93821713502659</v>
      </c>
      <c r="Q31" s="4">
        <f t="shared" si="11"/>
        <v>81.97870288099371</v>
      </c>
      <c r="R31" s="4">
        <f t="shared" si="11"/>
        <v>86.22121291425918</v>
      </c>
      <c r="S31" s="4">
        <f t="shared" si="11"/>
        <v>90.67584844918794</v>
      </c>
      <c r="T31" s="4">
        <f t="shared" si="11"/>
        <v>95.35321576086312</v>
      </c>
      <c r="U31" s="4">
        <f t="shared" si="11"/>
        <v>100.26445143812208</v>
      </c>
      <c r="V31" s="4">
        <f t="shared" si="11"/>
        <v>105.42124889924398</v>
      </c>
      <c r="W31" s="4">
        <f t="shared" si="11"/>
        <v>110.83588623342197</v>
      </c>
      <c r="X31" s="4">
        <f t="shared" si="11"/>
        <v>116.52125543430887</v>
      </c>
      <c r="Y31" s="4">
        <f t="shared" si="11"/>
        <v>122.4908930952401</v>
      </c>
      <c r="Z31" s="4">
        <f>Z35*$E7</f>
        <v>128.75901263921787</v>
      </c>
      <c r="AA31" s="4">
        <f>AA35*$E7</f>
        <v>135.34053816039454</v>
      </c>
      <c r="AB31" s="4">
        <f>AB35*$E7</f>
        <v>142.25113995763007</v>
      </c>
    </row>
    <row r="32" spans="2:28" ht="15">
      <c r="B32" t="s">
        <v>70</v>
      </c>
      <c r="F32" s="4">
        <f>F31-E31</f>
        <v>2.631600000000006</v>
      </c>
      <c r="G32" s="4">
        <f aca="true" t="shared" si="12" ref="G32:M32">G31-F31</f>
        <v>2.8105487999999994</v>
      </c>
      <c r="H32" s="4">
        <f t="shared" si="12"/>
        <v>3.00166611840001</v>
      </c>
      <c r="I32" s="4">
        <f t="shared" si="12"/>
        <v>3.2057794144512073</v>
      </c>
      <c r="J32" s="4">
        <f t="shared" si="12"/>
        <v>3.4237724146338877</v>
      </c>
      <c r="K32" s="4">
        <f t="shared" si="12"/>
        <v>6.671661612360488</v>
      </c>
      <c r="L32" s="4">
        <f t="shared" si="12"/>
        <v>3.1658263072080643</v>
      </c>
      <c r="M32" s="4">
        <f t="shared" si="12"/>
        <v>3.3241176225684796</v>
      </c>
      <c r="N32" s="4">
        <f>N31-M31</f>
        <v>3.4903235036968994</v>
      </c>
      <c r="O32" s="4">
        <f>O31-N31</f>
        <v>3.6648396788817337</v>
      </c>
      <c r="P32" s="4">
        <f aca="true" t="shared" si="13" ref="P32:AB32">P31-O31</f>
        <v>3.8480816628258196</v>
      </c>
      <c r="Q32" s="4">
        <f t="shared" si="13"/>
        <v>4.040485745967118</v>
      </c>
      <c r="R32" s="4">
        <f t="shared" si="13"/>
        <v>4.242510033265475</v>
      </c>
      <c r="S32" s="4">
        <f t="shared" si="13"/>
        <v>4.454635534928755</v>
      </c>
      <c r="T32" s="4">
        <f t="shared" si="13"/>
        <v>4.677367311675184</v>
      </c>
      <c r="U32" s="4">
        <f t="shared" si="13"/>
        <v>4.911235677258958</v>
      </c>
      <c r="V32" s="4">
        <f t="shared" si="13"/>
        <v>5.156797461121897</v>
      </c>
      <c r="W32" s="4">
        <f t="shared" si="13"/>
        <v>5.414637334177996</v>
      </c>
      <c r="X32" s="4">
        <f t="shared" si="13"/>
        <v>5.685369200886896</v>
      </c>
      <c r="Y32" s="4">
        <f t="shared" si="13"/>
        <v>5.969637660931227</v>
      </c>
      <c r="Z32" s="4">
        <f t="shared" si="13"/>
        <v>6.268119543977775</v>
      </c>
      <c r="AA32" s="4">
        <f t="shared" si="13"/>
        <v>6.5815255211766726</v>
      </c>
      <c r="AB32" s="4">
        <f t="shared" si="13"/>
        <v>6.910601797235529</v>
      </c>
    </row>
    <row r="33" spans="2:28" ht="15">
      <c r="B33" t="s">
        <v>79</v>
      </c>
      <c r="E33">
        <f>E15</f>
        <v>567</v>
      </c>
      <c r="F33" s="4">
        <f>F31/$E8</f>
        <v>605.556</v>
      </c>
      <c r="G33" s="4">
        <f aca="true" t="shared" si="14" ref="G33:N33">G31/$E8</f>
        <v>646.7338080000001</v>
      </c>
      <c r="H33" s="4">
        <f t="shared" si="14"/>
        <v>690.7117069440002</v>
      </c>
      <c r="I33" s="4">
        <f t="shared" si="14"/>
        <v>737.6801030161923</v>
      </c>
      <c r="J33" s="4">
        <f t="shared" si="14"/>
        <v>787.8423500212934</v>
      </c>
      <c r="K33" s="4">
        <f t="shared" si="14"/>
        <v>885.5899503884356</v>
      </c>
      <c r="L33" s="4">
        <f t="shared" si="14"/>
        <v>931.9729869824141</v>
      </c>
      <c r="M33" s="4">
        <f t="shared" si="14"/>
        <v>980.6751754060919</v>
      </c>
      <c r="N33" s="4">
        <f t="shared" si="14"/>
        <v>1031.8124732509534</v>
      </c>
      <c r="O33" s="4">
        <f>O31/$E8</f>
        <v>1085.506635988058</v>
      </c>
      <c r="P33" s="4">
        <f aca="true" t="shared" si="15" ref="P33:AB33">P31/$E8</f>
        <v>1141.8855068620176</v>
      </c>
      <c r="Q33" s="4">
        <f t="shared" si="15"/>
        <v>1201.0833212796754</v>
      </c>
      <c r="R33" s="4">
        <f t="shared" si="15"/>
        <v>1263.241026418216</v>
      </c>
      <c r="S33" s="4">
        <f t="shared" si="15"/>
        <v>1328.5066168136839</v>
      </c>
      <c r="T33" s="4">
        <f t="shared" si="15"/>
        <v>1397.035486728925</v>
      </c>
      <c r="U33" s="4">
        <f t="shared" si="15"/>
        <v>1468.9908001399283</v>
      </c>
      <c r="V33" s="4">
        <f t="shared" si="15"/>
        <v>1544.5438792214816</v>
      </c>
      <c r="W33" s="4">
        <f t="shared" si="15"/>
        <v>1623.8746122571129</v>
      </c>
      <c r="X33" s="4">
        <f t="shared" si="15"/>
        <v>1707.1718819445255</v>
      </c>
      <c r="Y33" s="4">
        <f t="shared" si="15"/>
        <v>1794.6340151163085</v>
      </c>
      <c r="Z33" s="4">
        <f t="shared" si="15"/>
        <v>1886.4692549466806</v>
      </c>
      <c r="AA33" s="4">
        <f t="shared" si="15"/>
        <v>1982.8962567685714</v>
      </c>
      <c r="AB33" s="4">
        <f t="shared" si="15"/>
        <v>2084.144608681557</v>
      </c>
    </row>
    <row r="34" ht="15">
      <c r="K34" s="4"/>
    </row>
    <row r="35" spans="2:28" ht="15">
      <c r="B35" t="s">
        <v>18</v>
      </c>
      <c r="E35" s="4">
        <f>E17</f>
        <v>860</v>
      </c>
      <c r="F35" s="4">
        <f>SVicData!W17</f>
        <v>918.48</v>
      </c>
      <c r="G35" s="4">
        <f>SVicData!X17</f>
        <v>980.9366400000001</v>
      </c>
      <c r="H35" s="4">
        <f>SVicData!Y17</f>
        <v>1047.6403315200002</v>
      </c>
      <c r="I35" s="4">
        <f>SVicData!Z17</f>
        <v>1118.8798740633604</v>
      </c>
      <c r="J35" s="4">
        <f>SVicData!AA17</f>
        <v>1194.963705499669</v>
      </c>
      <c r="K35" s="4">
        <f>IF(SVicData!AB17&gt;$I9,$I9,SVicData!AB17)</f>
        <v>1343.2228524410132</v>
      </c>
      <c r="L35" s="4">
        <f>IF(SVicData!AC17&gt;$I9,$I9,SVicData!AC17)</f>
        <v>1413.574548156748</v>
      </c>
      <c r="M35" s="4">
        <f>IF(SVicData!AD17&gt;$I9,$I9,SVicData!AD17)</f>
        <v>1487.4438286582697</v>
      </c>
      <c r="N35" s="4">
        <f>IF(SVicData!AE17&gt;$I9,$I9,SVicData!AE17)</f>
        <v>1565.0065731848674</v>
      </c>
      <c r="O35" s="4">
        <f>IF(SVicData!AF17&gt;$I9,$I9,SVicData!AF17)</f>
        <v>1646.4474549377949</v>
      </c>
      <c r="P35" s="4">
        <f>IF(SVicData!AG17&gt;$I9,$I9,SVicData!AG17)</f>
        <v>1731.9603807783687</v>
      </c>
      <c r="Q35" s="4">
        <f>IF(SVicData!AH17&gt;$I9,$I9,SVicData!AH17)</f>
        <v>1821.7489529109714</v>
      </c>
      <c r="R35" s="4">
        <f>IF(SVicData!AI17&gt;$I9,$I9,SVicData!AI17)</f>
        <v>1916.0269536502042</v>
      </c>
      <c r="S35" s="4">
        <f>IF(SVicData!AJ17&gt;$I9,$I9,SVicData!AJ17)</f>
        <v>2015.0188544263988</v>
      </c>
      <c r="T35" s="4">
        <f>IF(SVicData!AK17&gt;$I9,$I9,SVicData!AK17)</f>
        <v>2118.960350241403</v>
      </c>
      <c r="U35" s="4">
        <f>IF(SVicData!AL17&gt;$I9,$I9,SVicData!AL17)</f>
        <v>2228.0989208471574</v>
      </c>
      <c r="V35" s="4">
        <f>IF(SVicData!AM17&gt;$I9,$I9,SVicData!AM17)</f>
        <v>2342.6944199831996</v>
      </c>
      <c r="W35" s="4">
        <f>IF(SVicData!AN17&gt;$I9,$I9,SVicData!AN17)</f>
        <v>2463.019694076044</v>
      </c>
      <c r="X35" s="4">
        <f>IF(SVicData!AO17&gt;$I9,$I9,SVicData!AO17)</f>
        <v>2589.3612318735304</v>
      </c>
      <c r="Y35" s="4">
        <f>IF(SVicData!AP17&gt;$I9,$I9,SVicData!AP17)</f>
        <v>2722.019846560891</v>
      </c>
      <c r="Z35" s="4">
        <f>IF(SVicData!AQ17&gt;$I9,$I9,SVicData!AQ17)</f>
        <v>2861.3113919826196</v>
      </c>
      <c r="AA35" s="4">
        <f>IF(SVicData!AR17&gt;$I9,$I9,SVicData!AR17)</f>
        <v>3007.5675146754347</v>
      </c>
      <c r="AB35" s="4">
        <f>IF(SVicData!AS17&gt;$I9,$I9,SVicData!AS17)</f>
        <v>3161.136443502891</v>
      </c>
    </row>
    <row r="36" spans="2:31" ht="15">
      <c r="B36" t="s">
        <v>32</v>
      </c>
      <c r="F36" s="4">
        <f>F35-E35</f>
        <v>58.48000000000002</v>
      </c>
      <c r="G36" s="4">
        <f aca="true" t="shared" si="16" ref="G36:Z36">G35-F35</f>
        <v>62.45664000000011</v>
      </c>
      <c r="H36" s="4">
        <f t="shared" si="16"/>
        <v>66.70369152000012</v>
      </c>
      <c r="I36" s="4">
        <f t="shared" si="16"/>
        <v>71.23954254336013</v>
      </c>
      <c r="J36" s="4">
        <f t="shared" si="16"/>
        <v>76.08383143630863</v>
      </c>
      <c r="K36" s="4">
        <f t="shared" si="16"/>
        <v>148.25914694134417</v>
      </c>
      <c r="L36" s="4">
        <f t="shared" si="16"/>
        <v>70.35169571573488</v>
      </c>
      <c r="M36" s="4">
        <f t="shared" si="16"/>
        <v>73.86928050152164</v>
      </c>
      <c r="N36" s="4">
        <f t="shared" si="16"/>
        <v>77.56274452659773</v>
      </c>
      <c r="O36" s="4">
        <f t="shared" si="16"/>
        <v>81.44088175292745</v>
      </c>
      <c r="P36" s="4">
        <f t="shared" si="16"/>
        <v>85.51292584057387</v>
      </c>
      <c r="Q36" s="4">
        <f t="shared" si="16"/>
        <v>89.78857213260267</v>
      </c>
      <c r="R36" s="4">
        <f t="shared" si="16"/>
        <v>94.27800073923277</v>
      </c>
      <c r="S36" s="4">
        <f t="shared" si="16"/>
        <v>98.9919007761946</v>
      </c>
      <c r="T36" s="4">
        <f t="shared" si="16"/>
        <v>103.94149581500415</v>
      </c>
      <c r="U36" s="4">
        <f t="shared" si="16"/>
        <v>109.13857060575447</v>
      </c>
      <c r="V36" s="4">
        <f t="shared" si="16"/>
        <v>114.59549913604224</v>
      </c>
      <c r="W36" s="4">
        <f t="shared" si="16"/>
        <v>120.32527409284421</v>
      </c>
      <c r="X36" s="4">
        <f t="shared" si="16"/>
        <v>126.34153779748658</v>
      </c>
      <c r="Y36" s="4">
        <f t="shared" si="16"/>
        <v>132.65861468736057</v>
      </c>
      <c r="Z36" s="4">
        <f t="shared" si="16"/>
        <v>139.29154542172864</v>
      </c>
      <c r="AA36" s="4"/>
      <c r="AB36" s="4"/>
      <c r="AC36" s="4"/>
      <c r="AD36" s="4"/>
      <c r="AE36" s="4"/>
    </row>
    <row r="37" spans="2:31" ht="15">
      <c r="B37" t="s">
        <v>17</v>
      </c>
      <c r="F37" s="3">
        <f>F36/E35</f>
        <v>0.06800000000000002</v>
      </c>
      <c r="G37" s="3">
        <f aca="true" t="shared" si="17" ref="G37:Z37">G36/F35</f>
        <v>0.06800000000000012</v>
      </c>
      <c r="H37" s="3">
        <f t="shared" si="17"/>
        <v>0.06800000000000012</v>
      </c>
      <c r="I37" s="3">
        <f t="shared" si="17"/>
        <v>0.0680000000000001</v>
      </c>
      <c r="J37" s="3">
        <f t="shared" si="17"/>
        <v>0.06800000000000012</v>
      </c>
      <c r="K37" s="3">
        <f t="shared" si="17"/>
        <v>0.1240700000000002</v>
      </c>
      <c r="L37" s="3">
        <f t="shared" si="17"/>
        <v>0.05237529691211409</v>
      </c>
      <c r="M37" s="3">
        <f t="shared" si="17"/>
        <v>0.05225708159349969</v>
      </c>
      <c r="N37" s="3">
        <f t="shared" si="17"/>
        <v>0.052144990642478406</v>
      </c>
      <c r="O37" s="3">
        <f t="shared" si="17"/>
        <v>0.052038683509930024</v>
      </c>
      <c r="P37" s="3">
        <f t="shared" si="17"/>
        <v>0.051937840824567746</v>
      </c>
      <c r="Q37" s="3">
        <f t="shared" si="17"/>
        <v>0.05184216286301558</v>
      </c>
      <c r="R37" s="3">
        <f t="shared" si="17"/>
        <v>0.05175136815014276</v>
      </c>
      <c r="S37" s="3">
        <f t="shared" si="17"/>
        <v>0.05166519217676249</v>
      </c>
      <c r="T37" s="3">
        <f t="shared" si="17"/>
        <v>0.05158338622324824</v>
      </c>
      <c r="U37" s="3">
        <f t="shared" si="17"/>
        <v>0.0515057162788916</v>
      </c>
      <c r="V37" s="3">
        <f t="shared" si="17"/>
        <v>0.05143196204792885</v>
      </c>
      <c r="W37" s="3">
        <f t="shared" si="17"/>
        <v>0.051361916034148025</v>
      </c>
      <c r="X37" s="3">
        <f t="shared" si="17"/>
        <v>0.05129538269684086</v>
      </c>
      <c r="Y37" s="3">
        <f t="shared" si="17"/>
        <v>0.05123217767162426</v>
      </c>
      <c r="Z37" s="3">
        <f t="shared" si="17"/>
        <v>0.05117212705032815</v>
      </c>
      <c r="AA37" s="4"/>
      <c r="AB37" s="4"/>
      <c r="AC37" s="4"/>
      <c r="AD37" s="4"/>
      <c r="AE37" s="4"/>
    </row>
    <row r="38" spans="2:26" ht="15">
      <c r="B38" t="s">
        <v>27</v>
      </c>
      <c r="E38" s="4">
        <f aca="true" t="shared" si="18" ref="E38:Z38">E35*365*SVicOccupancy</f>
        <v>125560</v>
      </c>
      <c r="F38" s="4">
        <f t="shared" si="18"/>
        <v>134098.08000000002</v>
      </c>
      <c r="G38" s="4">
        <f t="shared" si="18"/>
        <v>143216.74944</v>
      </c>
      <c r="H38" s="4">
        <f t="shared" si="18"/>
        <v>152955.48840192004</v>
      </c>
      <c r="I38" s="4">
        <f t="shared" si="18"/>
        <v>163356.46161325063</v>
      </c>
      <c r="J38" s="4">
        <f t="shared" si="18"/>
        <v>174464.70100295168</v>
      </c>
      <c r="K38" s="4">
        <f t="shared" si="18"/>
        <v>196110.53645638796</v>
      </c>
      <c r="L38" s="4">
        <f t="shared" si="18"/>
        <v>206381.88403088524</v>
      </c>
      <c r="M38" s="4">
        <f t="shared" si="18"/>
        <v>217166.7989841074</v>
      </c>
      <c r="N38" s="4">
        <f t="shared" si="18"/>
        <v>228490.95968499064</v>
      </c>
      <c r="O38" s="4">
        <f t="shared" si="18"/>
        <v>240381.3284209181</v>
      </c>
      <c r="P38" s="4">
        <f t="shared" si="18"/>
        <v>252866.21559364186</v>
      </c>
      <c r="Q38" s="4">
        <f t="shared" si="18"/>
        <v>265975.34712500183</v>
      </c>
      <c r="R38" s="4">
        <f t="shared" si="18"/>
        <v>279739.9352329298</v>
      </c>
      <c r="S38" s="4">
        <f t="shared" si="18"/>
        <v>294192.7527462542</v>
      </c>
      <c r="T38" s="4">
        <f t="shared" si="18"/>
        <v>309368.21113524487</v>
      </c>
      <c r="U38" s="4">
        <f t="shared" si="18"/>
        <v>325302.442443685</v>
      </c>
      <c r="V38" s="4">
        <f t="shared" si="18"/>
        <v>342033.3853175472</v>
      </c>
      <c r="W38" s="4">
        <f t="shared" si="18"/>
        <v>359600.87533510244</v>
      </c>
      <c r="X38" s="4">
        <f t="shared" si="18"/>
        <v>378046.7398535355</v>
      </c>
      <c r="Y38" s="4">
        <f t="shared" si="18"/>
        <v>397414.8975978901</v>
      </c>
      <c r="Z38" s="4">
        <f t="shared" si="18"/>
        <v>417751.4632294625</v>
      </c>
    </row>
    <row r="39" spans="2:26" ht="15">
      <c r="B39" t="s">
        <v>50</v>
      </c>
      <c r="E39" s="7">
        <f aca="true" t="shared" si="19" ref="E39:Z39">E38*SalTourVA</f>
        <v>583781112.42</v>
      </c>
      <c r="F39" s="7">
        <f t="shared" si="19"/>
        <v>623478228.06456</v>
      </c>
      <c r="G39" s="7">
        <f t="shared" si="19"/>
        <v>665874747.5729501</v>
      </c>
      <c r="H39" s="7">
        <f t="shared" si="19"/>
        <v>711154230.4079108</v>
      </c>
      <c r="I39" s="7">
        <f t="shared" si="19"/>
        <v>759512718.0756489</v>
      </c>
      <c r="J39" s="7">
        <f t="shared" si="19"/>
        <v>811159582.9047931</v>
      </c>
      <c r="K39" s="7">
        <f t="shared" si="19"/>
        <v>911800152.3557911</v>
      </c>
      <c r="L39" s="7">
        <f t="shared" si="19"/>
        <v>959555956.0599364</v>
      </c>
      <c r="M39" s="7">
        <f t="shared" si="19"/>
        <v>1009699549.9492891</v>
      </c>
      <c r="N39" s="7">
        <f t="shared" si="19"/>
        <v>1062350323.5331093</v>
      </c>
      <c r="O39" s="7">
        <f t="shared" si="19"/>
        <v>1117633635.7961206</v>
      </c>
      <c r="P39" s="7">
        <f t="shared" si="19"/>
        <v>1175681113.6722825</v>
      </c>
      <c r="Q39" s="7">
        <f t="shared" si="19"/>
        <v>1236630965.4422524</v>
      </c>
      <c r="R39" s="7">
        <f t="shared" si="19"/>
        <v>1300628309.800721</v>
      </c>
      <c r="S39" s="7">
        <f t="shared" si="19"/>
        <v>1367825521.3771129</v>
      </c>
      <c r="T39" s="7">
        <f t="shared" si="19"/>
        <v>1438382593.5323246</v>
      </c>
      <c r="U39" s="7">
        <f t="shared" si="19"/>
        <v>1512467519.295297</v>
      </c>
      <c r="V39" s="7">
        <f t="shared" si="19"/>
        <v>1590256691.3464177</v>
      </c>
      <c r="W39" s="7">
        <f t="shared" si="19"/>
        <v>1671935322.0000942</v>
      </c>
      <c r="X39" s="7">
        <f t="shared" si="19"/>
        <v>1757697884.186455</v>
      </c>
      <c r="Y39" s="7">
        <f t="shared" si="19"/>
        <v>1847748574.4821334</v>
      </c>
      <c r="Z39" s="7">
        <f t="shared" si="19"/>
        <v>1942301799.2925959</v>
      </c>
    </row>
    <row r="40" spans="2:26" ht="15">
      <c r="B40" t="s">
        <v>51</v>
      </c>
      <c r="E40" s="7">
        <f aca="true" t="shared" si="20" ref="E40:Z40">E39/exrate</f>
        <v>7581572.888571428</v>
      </c>
      <c r="F40" s="7">
        <f t="shared" si="20"/>
        <v>8097119.844994286</v>
      </c>
      <c r="G40" s="7">
        <f t="shared" si="20"/>
        <v>8647723.994453898</v>
      </c>
      <c r="H40" s="7">
        <f t="shared" si="20"/>
        <v>9235769.226076763</v>
      </c>
      <c r="I40" s="7">
        <f t="shared" si="20"/>
        <v>9863801.533449985</v>
      </c>
      <c r="J40" s="7">
        <f t="shared" si="20"/>
        <v>10534540.037724586</v>
      </c>
      <c r="K40" s="7">
        <f t="shared" si="20"/>
        <v>11841560.420205079</v>
      </c>
      <c r="L40" s="7">
        <f t="shared" si="20"/>
        <v>12461765.663116056</v>
      </c>
      <c r="M40" s="7">
        <f t="shared" si="20"/>
        <v>13112981.168172585</v>
      </c>
      <c r="N40" s="7">
        <f t="shared" si="20"/>
        <v>13796757.44848194</v>
      </c>
      <c r="O40" s="7">
        <f t="shared" si="20"/>
        <v>14514722.542806761</v>
      </c>
      <c r="P40" s="7">
        <f t="shared" si="20"/>
        <v>15268585.891847825</v>
      </c>
      <c r="Q40" s="7">
        <f t="shared" si="20"/>
        <v>16060142.40834094</v>
      </c>
      <c r="R40" s="7">
        <f t="shared" si="20"/>
        <v>16891276.750658713</v>
      </c>
      <c r="S40" s="7">
        <f t="shared" si="20"/>
        <v>17763967.810092375</v>
      </c>
      <c r="T40" s="7">
        <f t="shared" si="20"/>
        <v>18680293.422497723</v>
      </c>
      <c r="U40" s="7">
        <f t="shared" si="20"/>
        <v>19642435.315523338</v>
      </c>
      <c r="V40" s="7">
        <f t="shared" si="20"/>
        <v>20652684.30320023</v>
      </c>
      <c r="W40" s="7">
        <f t="shared" si="20"/>
        <v>21713445.740260962</v>
      </c>
      <c r="X40" s="7">
        <f t="shared" si="20"/>
        <v>22827245.24917474</v>
      </c>
      <c r="Y40" s="7">
        <f t="shared" si="20"/>
        <v>23996734.7335342</v>
      </c>
      <c r="Z40" s="7">
        <f t="shared" si="20"/>
        <v>25224698.692111634</v>
      </c>
    </row>
    <row r="41" spans="2:26" ht="15">
      <c r="B41" t="s">
        <v>45</v>
      </c>
      <c r="E41" s="7"/>
      <c r="F41" s="7">
        <f aca="true" t="shared" si="21" ref="F41:Z41">F32*ConstructC*ConstructVA</f>
        <v>151974900.00000033</v>
      </c>
      <c r="G41" s="7">
        <f t="shared" si="21"/>
        <v>162309193.19999996</v>
      </c>
      <c r="H41" s="7">
        <f t="shared" si="21"/>
        <v>173346218.3376006</v>
      </c>
      <c r="I41" s="7">
        <f t="shared" si="21"/>
        <v>185133761.18455723</v>
      </c>
      <c r="J41" s="7">
        <f t="shared" si="21"/>
        <v>197722856.945107</v>
      </c>
      <c r="K41" s="7">
        <f t="shared" si="21"/>
        <v>385288458.11381817</v>
      </c>
      <c r="L41" s="7">
        <f t="shared" si="21"/>
        <v>182826469.2412657</v>
      </c>
      <c r="M41" s="7">
        <f t="shared" si="21"/>
        <v>191967792.7033297</v>
      </c>
      <c r="N41" s="7">
        <f t="shared" si="21"/>
        <v>201566182.33849594</v>
      </c>
      <c r="O41" s="7">
        <f t="shared" si="21"/>
        <v>211644491.4554201</v>
      </c>
      <c r="P41" s="7">
        <f t="shared" si="21"/>
        <v>222226716.0281911</v>
      </c>
      <c r="Q41" s="7">
        <f t="shared" si="21"/>
        <v>233338051.82960105</v>
      </c>
      <c r="R41" s="7">
        <f t="shared" si="21"/>
        <v>245004954.4210812</v>
      </c>
      <c r="S41" s="7">
        <f t="shared" si="21"/>
        <v>257255202.14213562</v>
      </c>
      <c r="T41" s="7">
        <f t="shared" si="21"/>
        <v>270117962.2492419</v>
      </c>
      <c r="U41" s="7">
        <f t="shared" si="21"/>
        <v>283623860.3617048</v>
      </c>
      <c r="V41" s="7">
        <f t="shared" si="21"/>
        <v>297805053.3797896</v>
      </c>
      <c r="W41" s="7">
        <f t="shared" si="21"/>
        <v>312695306.0487793</v>
      </c>
      <c r="X41" s="7">
        <f t="shared" si="21"/>
        <v>328330071.3512182</v>
      </c>
      <c r="Y41" s="7">
        <f t="shared" si="21"/>
        <v>344746574.91877836</v>
      </c>
      <c r="Z41" s="7">
        <f t="shared" si="21"/>
        <v>361983903.66471654</v>
      </c>
    </row>
    <row r="42" spans="2:31" ht="15">
      <c r="B42" s="8" t="s">
        <v>46</v>
      </c>
      <c r="C42" s="8"/>
      <c r="D42" s="8"/>
      <c r="E42" s="15"/>
      <c r="F42" s="15">
        <f aca="true" t="shared" si="22" ref="F42:Z42">F41/exrate</f>
        <v>1973700.0000000042</v>
      </c>
      <c r="G42" s="15">
        <f t="shared" si="22"/>
        <v>2107911.5999999996</v>
      </c>
      <c r="H42" s="15">
        <f t="shared" si="22"/>
        <v>2251249.5888000075</v>
      </c>
      <c r="I42" s="15">
        <f t="shared" si="22"/>
        <v>2404334.5608384055</v>
      </c>
      <c r="J42" s="15">
        <f t="shared" si="22"/>
        <v>2567829.3109754156</v>
      </c>
      <c r="K42" s="15">
        <f t="shared" si="22"/>
        <v>5003746.209270366</v>
      </c>
      <c r="L42" s="15">
        <f t="shared" si="22"/>
        <v>2374369.7304060482</v>
      </c>
      <c r="M42" s="15">
        <f t="shared" si="22"/>
        <v>2493088.21692636</v>
      </c>
      <c r="N42" s="15">
        <f t="shared" si="22"/>
        <v>2617742.6277726744</v>
      </c>
      <c r="O42" s="15">
        <f t="shared" si="22"/>
        <v>2748629.7591613</v>
      </c>
      <c r="P42" s="15">
        <f t="shared" si="22"/>
        <v>2886061.247119365</v>
      </c>
      <c r="Q42" s="15">
        <f t="shared" si="22"/>
        <v>3030364.309475338</v>
      </c>
      <c r="R42" s="15">
        <f t="shared" si="22"/>
        <v>3181882.5249491064</v>
      </c>
      <c r="S42" s="15">
        <f t="shared" si="22"/>
        <v>3340976.6511965664</v>
      </c>
      <c r="T42" s="15">
        <f t="shared" si="22"/>
        <v>3508025.483756388</v>
      </c>
      <c r="U42" s="15">
        <f t="shared" si="22"/>
        <v>3683426.7579442183</v>
      </c>
      <c r="V42" s="15">
        <f t="shared" si="22"/>
        <v>3867598.095841423</v>
      </c>
      <c r="W42" s="15">
        <f t="shared" si="22"/>
        <v>4060978.0006334977</v>
      </c>
      <c r="X42" s="15">
        <f t="shared" si="22"/>
        <v>4264026.900665171</v>
      </c>
      <c r="Y42" s="15">
        <f t="shared" si="22"/>
        <v>4477228.24569842</v>
      </c>
      <c r="Z42" s="15">
        <f t="shared" si="22"/>
        <v>4701089.657983332</v>
      </c>
      <c r="AA42" s="8"/>
      <c r="AB42" s="8"/>
      <c r="AC42" s="8"/>
      <c r="AD42" s="8"/>
      <c r="AE42" s="8"/>
    </row>
    <row r="43" spans="2:26" ht="15">
      <c r="B43" t="s">
        <v>47</v>
      </c>
      <c r="E43" s="7"/>
      <c r="F43" s="7">
        <f aca="true" t="shared" si="23" ref="F43:Z44">F39+F41</f>
        <v>775453128.0645604</v>
      </c>
      <c r="G43" s="7">
        <f t="shared" si="23"/>
        <v>828183940.77295</v>
      </c>
      <c r="H43" s="7">
        <f t="shared" si="23"/>
        <v>884500448.7455114</v>
      </c>
      <c r="I43" s="7">
        <f t="shared" si="23"/>
        <v>944646479.2602061</v>
      </c>
      <c r="J43" s="7">
        <f t="shared" si="23"/>
        <v>1008882439.8499001</v>
      </c>
      <c r="K43" s="7">
        <f t="shared" si="23"/>
        <v>1297088610.4696093</v>
      </c>
      <c r="L43" s="7">
        <f t="shared" si="23"/>
        <v>1142382425.301202</v>
      </c>
      <c r="M43" s="7">
        <f t="shared" si="23"/>
        <v>1201667342.652619</v>
      </c>
      <c r="N43" s="7">
        <f t="shared" si="23"/>
        <v>1263916505.8716052</v>
      </c>
      <c r="O43" s="7">
        <f t="shared" si="23"/>
        <v>1329278127.2515407</v>
      </c>
      <c r="P43" s="7">
        <f t="shared" si="23"/>
        <v>1397907829.7004735</v>
      </c>
      <c r="Q43" s="7">
        <f t="shared" si="23"/>
        <v>1469969017.2718534</v>
      </c>
      <c r="R43" s="7">
        <f t="shared" si="23"/>
        <v>1545633264.2218022</v>
      </c>
      <c r="S43" s="7">
        <f t="shared" si="23"/>
        <v>1625080723.5192485</v>
      </c>
      <c r="T43" s="7">
        <f t="shared" si="23"/>
        <v>1708500555.7815664</v>
      </c>
      <c r="U43" s="7">
        <f t="shared" si="23"/>
        <v>1796091379.6570017</v>
      </c>
      <c r="V43" s="7">
        <f t="shared" si="23"/>
        <v>1888061744.7262073</v>
      </c>
      <c r="W43" s="7">
        <f t="shared" si="23"/>
        <v>1984630628.0488734</v>
      </c>
      <c r="X43" s="7">
        <f t="shared" si="23"/>
        <v>2086027955.5376732</v>
      </c>
      <c r="Y43" s="7">
        <f t="shared" si="23"/>
        <v>2192495149.400912</v>
      </c>
      <c r="Z43" s="7">
        <f t="shared" si="23"/>
        <v>2304285702.9573126</v>
      </c>
    </row>
    <row r="44" spans="2:26" ht="15">
      <c r="B44" t="s">
        <v>48</v>
      </c>
      <c r="E44" s="7"/>
      <c r="F44" s="7">
        <f t="shared" si="23"/>
        <v>10070819.84499429</v>
      </c>
      <c r="G44" s="7">
        <f t="shared" si="23"/>
        <v>10755635.594453897</v>
      </c>
      <c r="H44" s="7">
        <f t="shared" si="23"/>
        <v>11487018.81487677</v>
      </c>
      <c r="I44" s="7">
        <f t="shared" si="23"/>
        <v>12268136.09428839</v>
      </c>
      <c r="J44" s="7">
        <f t="shared" si="23"/>
        <v>13102369.348700002</v>
      </c>
      <c r="K44" s="7">
        <f t="shared" si="23"/>
        <v>16845306.629475445</v>
      </c>
      <c r="L44" s="7">
        <f t="shared" si="23"/>
        <v>14836135.393522104</v>
      </c>
      <c r="M44" s="7">
        <f t="shared" si="23"/>
        <v>15606069.385098945</v>
      </c>
      <c r="N44" s="7">
        <f t="shared" si="23"/>
        <v>16414500.076254614</v>
      </c>
      <c r="O44" s="7">
        <f t="shared" si="23"/>
        <v>17263352.30196806</v>
      </c>
      <c r="P44" s="7">
        <f t="shared" si="23"/>
        <v>18154647.13896719</v>
      </c>
      <c r="Q44" s="7">
        <f t="shared" si="23"/>
        <v>19090506.71781628</v>
      </c>
      <c r="R44" s="7">
        <f t="shared" si="23"/>
        <v>20073159.27560782</v>
      </c>
      <c r="S44" s="7">
        <f t="shared" si="23"/>
        <v>21104944.46128894</v>
      </c>
      <c r="T44" s="7">
        <f t="shared" si="23"/>
        <v>22188318.906254113</v>
      </c>
      <c r="U44" s="7">
        <f t="shared" si="23"/>
        <v>23325862.073467556</v>
      </c>
      <c r="V44" s="7">
        <f t="shared" si="23"/>
        <v>24520282.399041653</v>
      </c>
      <c r="W44" s="7">
        <f t="shared" si="23"/>
        <v>25774423.74089446</v>
      </c>
      <c r="X44" s="7">
        <f t="shared" si="23"/>
        <v>27091272.14983991</v>
      </c>
      <c r="Y44" s="7">
        <f t="shared" si="23"/>
        <v>28473962.979232617</v>
      </c>
      <c r="Z44" s="7">
        <f t="shared" si="23"/>
        <v>29925788.350094967</v>
      </c>
    </row>
    <row r="45" spans="5:26" ht="15">
      <c r="E45" s="7"/>
      <c r="F45" s="7"/>
      <c r="G45" s="7"/>
      <c r="H45" s="7"/>
      <c r="I45" s="7"/>
      <c r="J45" s="7"/>
      <c r="K45" s="7"/>
      <c r="L45" s="7"/>
      <c r="M45" s="7"/>
      <c r="N45" s="7"/>
      <c r="O45" s="7"/>
      <c r="P45" s="7"/>
      <c r="Q45" s="7"/>
      <c r="R45" s="7"/>
      <c r="S45" s="7"/>
      <c r="T45" s="7"/>
      <c r="U45" s="7"/>
      <c r="V45" s="7"/>
      <c r="W45" s="7"/>
      <c r="X45" s="7"/>
      <c r="Y45" s="7"/>
      <c r="Z45" s="7"/>
    </row>
    <row r="46" spans="2:26" ht="15">
      <c r="B46" t="s">
        <v>52</v>
      </c>
      <c r="E46" s="7"/>
      <c r="F46" s="7">
        <f>F39-F21</f>
        <v>0</v>
      </c>
      <c r="G46" s="7">
        <f aca="true" t="shared" si="24" ref="G46:Q46">G39-G21</f>
        <v>0</v>
      </c>
      <c r="H46" s="7">
        <f t="shared" si="24"/>
        <v>0</v>
      </c>
      <c r="I46" s="7">
        <f t="shared" si="24"/>
        <v>0</v>
      </c>
      <c r="J46" s="7">
        <f t="shared" si="24"/>
        <v>0</v>
      </c>
      <c r="K46" s="7">
        <f t="shared" si="24"/>
        <v>45481717.81347191</v>
      </c>
      <c r="L46" s="7">
        <f t="shared" si="24"/>
        <v>49921599.79050124</v>
      </c>
      <c r="M46" s="7">
        <f t="shared" si="24"/>
        <v>54583475.86638212</v>
      </c>
      <c r="N46" s="7">
        <f t="shared" si="24"/>
        <v>59478445.746056914</v>
      </c>
      <c r="O46" s="7">
        <f t="shared" si="24"/>
        <v>64618164.11971557</v>
      </c>
      <c r="P46" s="7">
        <f t="shared" si="24"/>
        <v>70014868.41205716</v>
      </c>
      <c r="Q46" s="7">
        <f t="shared" si="24"/>
        <v>75681407.91901588</v>
      </c>
      <c r="R46" s="7">
        <f>R39-R21</f>
        <v>81631274.40132236</v>
      </c>
      <c r="S46" s="7">
        <f aca="true" t="shared" si="25" ref="S46:Z46">S39-S21</f>
        <v>87878634.20774436</v>
      </c>
      <c r="T46" s="7">
        <f t="shared" si="25"/>
        <v>94438362.00448751</v>
      </c>
      <c r="U46" s="7">
        <f t="shared" si="25"/>
        <v>101326076.19106817</v>
      </c>
      <c r="V46" s="7">
        <f t="shared" si="25"/>
        <v>108558176.08697724</v>
      </c>
      <c r="W46" s="7">
        <f t="shared" si="25"/>
        <v>116151880.97768164</v>
      </c>
      <c r="X46" s="7">
        <f t="shared" si="25"/>
        <v>124125271.11292171</v>
      </c>
      <c r="Y46" s="7">
        <f t="shared" si="25"/>
        <v>132497330.7549231</v>
      </c>
      <c r="Z46" s="7">
        <f t="shared" si="25"/>
        <v>141287993.37902522</v>
      </c>
    </row>
    <row r="47" spans="2:26" ht="15">
      <c r="B47" t="s">
        <v>53</v>
      </c>
      <c r="E47" s="7"/>
      <c r="F47" s="7">
        <f aca="true" t="shared" si="26" ref="F47:Z47">F46/exrate</f>
        <v>0</v>
      </c>
      <c r="G47" s="7">
        <f t="shared" si="26"/>
        <v>0</v>
      </c>
      <c r="H47" s="7">
        <f t="shared" si="26"/>
        <v>0</v>
      </c>
      <c r="I47" s="7">
        <f t="shared" si="26"/>
        <v>0</v>
      </c>
      <c r="J47" s="7">
        <f t="shared" si="26"/>
        <v>0</v>
      </c>
      <c r="K47" s="7">
        <f t="shared" si="26"/>
        <v>590671.6599152196</v>
      </c>
      <c r="L47" s="7">
        <f>L46/exrate</f>
        <v>648332.4648117044</v>
      </c>
      <c r="M47" s="7">
        <f t="shared" si="26"/>
        <v>708876.3099530146</v>
      </c>
      <c r="N47" s="7">
        <f t="shared" si="26"/>
        <v>772447.3473513885</v>
      </c>
      <c r="O47" s="7">
        <f t="shared" si="26"/>
        <v>839196.9366196827</v>
      </c>
      <c r="P47" s="7">
        <f t="shared" si="26"/>
        <v>909284.0053513917</v>
      </c>
      <c r="Q47" s="7">
        <f t="shared" si="26"/>
        <v>982875.4275196868</v>
      </c>
      <c r="R47" s="7">
        <f t="shared" si="26"/>
        <v>1060146.4207963943</v>
      </c>
      <c r="S47" s="7">
        <f t="shared" si="26"/>
        <v>1141280.9637369397</v>
      </c>
      <c r="T47" s="7">
        <f t="shared" si="26"/>
        <v>1226472.2338245132</v>
      </c>
      <c r="U47" s="7">
        <f t="shared" si="26"/>
        <v>1315923.0674164698</v>
      </c>
      <c r="V47" s="7">
        <f t="shared" si="26"/>
        <v>1409846.4426880162</v>
      </c>
      <c r="W47" s="7">
        <f t="shared" si="26"/>
        <v>1508465.9867231383</v>
      </c>
      <c r="X47" s="7">
        <f t="shared" si="26"/>
        <v>1612016.5079600222</v>
      </c>
      <c r="Y47" s="7">
        <f t="shared" si="26"/>
        <v>1720744.5552587416</v>
      </c>
      <c r="Z47" s="7">
        <f t="shared" si="26"/>
        <v>1834909.0049224054</v>
      </c>
    </row>
    <row r="48" spans="2:26" ht="15">
      <c r="B48" t="s">
        <v>45</v>
      </c>
      <c r="E48" s="7"/>
      <c r="F48" s="7">
        <f>F41-F23</f>
        <v>0</v>
      </c>
      <c r="G48" s="7">
        <f aca="true" t="shared" si="27" ref="G48:Q48">G41-G23</f>
        <v>0</v>
      </c>
      <c r="H48" s="7">
        <f t="shared" si="27"/>
        <v>0</v>
      </c>
      <c r="I48" s="7">
        <f t="shared" si="27"/>
        <v>0</v>
      </c>
      <c r="J48" s="7">
        <f t="shared" si="27"/>
        <v>0</v>
      </c>
      <c r="K48" s="7">
        <f t="shared" si="27"/>
        <v>174120446.89644405</v>
      </c>
      <c r="L48" s="7">
        <f t="shared" si="27"/>
        <v>16997472.197033614</v>
      </c>
      <c r="M48" s="7">
        <f t="shared" si="27"/>
        <v>17847345.806886047</v>
      </c>
      <c r="N48" s="7">
        <f t="shared" si="27"/>
        <v>18739713.09722981</v>
      </c>
      <c r="O48" s="7">
        <f t="shared" si="27"/>
        <v>19676698.75209123</v>
      </c>
      <c r="P48" s="7">
        <f t="shared" si="27"/>
        <v>20660533.68969515</v>
      </c>
      <c r="Q48" s="7">
        <f t="shared" si="27"/>
        <v>21693560.374180943</v>
      </c>
      <c r="R48" s="7">
        <f>R41-R23</f>
        <v>22778238.39288929</v>
      </c>
      <c r="S48" s="7">
        <f aca="true" t="shared" si="28" ref="S48:Z48">S41-S23</f>
        <v>23917150.31253457</v>
      </c>
      <c r="T48" s="7">
        <f t="shared" si="28"/>
        <v>25113007.828160703</v>
      </c>
      <c r="U48" s="7">
        <f t="shared" si="28"/>
        <v>26368658.219569206</v>
      </c>
      <c r="V48" s="7">
        <f t="shared" si="28"/>
        <v>27687091.130547702</v>
      </c>
      <c r="W48" s="7">
        <f t="shared" si="28"/>
        <v>29071445.687074482</v>
      </c>
      <c r="X48" s="7">
        <f t="shared" si="28"/>
        <v>30525017.971428633</v>
      </c>
      <c r="Y48" s="7">
        <f t="shared" si="28"/>
        <v>32051268.869999886</v>
      </c>
      <c r="Z48" s="7">
        <f t="shared" si="28"/>
        <v>33653832.31349832</v>
      </c>
    </row>
    <row r="49" spans="2:26" ht="15">
      <c r="B49" s="8" t="s">
        <v>46</v>
      </c>
      <c r="C49" s="8"/>
      <c r="D49" s="8"/>
      <c r="E49" s="8"/>
      <c r="F49" s="15">
        <f aca="true" t="shared" si="29" ref="F49:Z49">F48/exrate</f>
        <v>0</v>
      </c>
      <c r="G49" s="15">
        <f t="shared" si="29"/>
        <v>0</v>
      </c>
      <c r="H49" s="15">
        <f t="shared" si="29"/>
        <v>0</v>
      </c>
      <c r="I49" s="15">
        <f t="shared" si="29"/>
        <v>0</v>
      </c>
      <c r="J49" s="15">
        <f t="shared" si="29"/>
        <v>0</v>
      </c>
      <c r="K49" s="15">
        <f t="shared" si="29"/>
        <v>2261304.505148624</v>
      </c>
      <c r="L49" s="15">
        <f t="shared" si="29"/>
        <v>220746.39216926772</v>
      </c>
      <c r="M49" s="15">
        <f t="shared" si="29"/>
        <v>231783.7117777409</v>
      </c>
      <c r="N49" s="15">
        <f t="shared" si="29"/>
        <v>243372.8973666209</v>
      </c>
      <c r="O49" s="15">
        <f t="shared" si="29"/>
        <v>255541.54223495102</v>
      </c>
      <c r="P49" s="15">
        <f t="shared" si="29"/>
        <v>268318.61934669025</v>
      </c>
      <c r="Q49" s="15">
        <f t="shared" si="29"/>
        <v>281734.55031403824</v>
      </c>
      <c r="R49" s="15">
        <f t="shared" si="29"/>
        <v>295821.27782973106</v>
      </c>
      <c r="S49" s="15">
        <f t="shared" si="29"/>
        <v>310612.3417212282</v>
      </c>
      <c r="T49" s="15">
        <f t="shared" si="29"/>
        <v>326142.95880728186</v>
      </c>
      <c r="U49" s="15">
        <f t="shared" si="29"/>
        <v>342450.10674765205</v>
      </c>
      <c r="V49" s="15">
        <f t="shared" si="29"/>
        <v>359572.61208503507</v>
      </c>
      <c r="W49" s="15">
        <f t="shared" si="29"/>
        <v>377551.24268927897</v>
      </c>
      <c r="X49" s="15">
        <f t="shared" si="29"/>
        <v>396428.8048237485</v>
      </c>
      <c r="Y49" s="15">
        <f t="shared" si="29"/>
        <v>416250.24506493355</v>
      </c>
      <c r="Z49" s="15">
        <f t="shared" si="29"/>
        <v>437062.75731816</v>
      </c>
    </row>
    <row r="50" spans="2:26" ht="15">
      <c r="B50" t="s">
        <v>33</v>
      </c>
      <c r="E50" s="7">
        <f>E39-E21</f>
        <v>0</v>
      </c>
      <c r="F50" s="7">
        <f aca="true" t="shared" si="30" ref="F50:Z50">F43-F25</f>
        <v>0</v>
      </c>
      <c r="G50" s="7">
        <f t="shared" si="30"/>
        <v>0</v>
      </c>
      <c r="H50" s="7">
        <f t="shared" si="30"/>
        <v>0</v>
      </c>
      <c r="I50" s="7">
        <f t="shared" si="30"/>
        <v>0</v>
      </c>
      <c r="J50" s="7">
        <f t="shared" si="30"/>
        <v>0</v>
      </c>
      <c r="K50" s="7">
        <f t="shared" si="30"/>
        <v>219602164.70991588</v>
      </c>
      <c r="L50" s="7">
        <f t="shared" si="30"/>
        <v>66919071.98753476</v>
      </c>
      <c r="M50" s="7">
        <f t="shared" si="30"/>
        <v>72430821.67326832</v>
      </c>
      <c r="N50" s="7">
        <f t="shared" si="30"/>
        <v>78218158.84328675</v>
      </c>
      <c r="O50" s="7">
        <f t="shared" si="30"/>
        <v>84294862.87180662</v>
      </c>
      <c r="P50" s="7">
        <f t="shared" si="30"/>
        <v>90675402.10175228</v>
      </c>
      <c r="Q50" s="7">
        <f t="shared" si="30"/>
        <v>97374968.29319692</v>
      </c>
      <c r="R50" s="7">
        <f t="shared" si="30"/>
        <v>104409512.79421186</v>
      </c>
      <c r="S50" s="7">
        <f t="shared" si="30"/>
        <v>111795784.52027893</v>
      </c>
      <c r="T50" s="7">
        <f t="shared" si="30"/>
        <v>119551369.83264804</v>
      </c>
      <c r="U50" s="7">
        <f t="shared" si="30"/>
        <v>127694734.41063738</v>
      </c>
      <c r="V50" s="7">
        <f t="shared" si="30"/>
        <v>136245267.217525</v>
      </c>
      <c r="W50" s="7">
        <f t="shared" si="30"/>
        <v>145223326.66475606</v>
      </c>
      <c r="X50" s="7">
        <f t="shared" si="30"/>
        <v>154650289.08435035</v>
      </c>
      <c r="Y50" s="7">
        <f t="shared" si="30"/>
        <v>164548599.624923</v>
      </c>
      <c r="Z50" s="7">
        <f t="shared" si="30"/>
        <v>174941825.69252372</v>
      </c>
    </row>
    <row r="51" spans="2:26" ht="15">
      <c r="B51" t="s">
        <v>35</v>
      </c>
      <c r="E51" s="7">
        <f aca="true" t="shared" si="31" ref="E51:Z51">E50/exrate</f>
        <v>0</v>
      </c>
      <c r="F51" s="7">
        <f t="shared" si="31"/>
        <v>0</v>
      </c>
      <c r="G51" s="7">
        <f t="shared" si="31"/>
        <v>0</v>
      </c>
      <c r="H51" s="7">
        <f t="shared" si="31"/>
        <v>0</v>
      </c>
      <c r="I51" s="7">
        <f t="shared" si="31"/>
        <v>0</v>
      </c>
      <c r="J51" s="7">
        <f t="shared" si="31"/>
        <v>0</v>
      </c>
      <c r="K51" s="7">
        <f t="shared" si="31"/>
        <v>2851976.1650638427</v>
      </c>
      <c r="L51" s="7">
        <f t="shared" si="31"/>
        <v>869078.856980971</v>
      </c>
      <c r="M51" s="7">
        <f t="shared" si="31"/>
        <v>940660.0217307574</v>
      </c>
      <c r="N51" s="7">
        <f t="shared" si="31"/>
        <v>1015820.2447180097</v>
      </c>
      <c r="O51" s="7">
        <f t="shared" si="31"/>
        <v>1094738.4788546315</v>
      </c>
      <c r="P51" s="7">
        <f t="shared" si="31"/>
        <v>1177602.6246980815</v>
      </c>
      <c r="Q51" s="7">
        <f t="shared" si="31"/>
        <v>1264609.9778337262</v>
      </c>
      <c r="R51" s="7">
        <f t="shared" si="31"/>
        <v>1355967.698626128</v>
      </c>
      <c r="S51" s="7">
        <f t="shared" si="31"/>
        <v>1451893.305458168</v>
      </c>
      <c r="T51" s="7">
        <f t="shared" si="31"/>
        <v>1552615.1926317927</v>
      </c>
      <c r="U51" s="7">
        <f t="shared" si="31"/>
        <v>1658373.1741641217</v>
      </c>
      <c r="V51" s="7">
        <f t="shared" si="31"/>
        <v>1769419.054773052</v>
      </c>
      <c r="W51" s="7">
        <f t="shared" si="31"/>
        <v>1886017.2294124165</v>
      </c>
      <c r="X51" s="7">
        <f t="shared" si="31"/>
        <v>2008445.3127837707</v>
      </c>
      <c r="Y51" s="7">
        <f t="shared" si="31"/>
        <v>2136994.8003236754</v>
      </c>
      <c r="Z51" s="7">
        <f t="shared" si="31"/>
        <v>2271971.7622405677</v>
      </c>
    </row>
    <row r="53" ht="15">
      <c r="B53" s="12" t="s">
        <v>36</v>
      </c>
    </row>
    <row r="54" spans="2:26" ht="15">
      <c r="B54" t="s">
        <v>42</v>
      </c>
      <c r="F54" s="7">
        <f>(H14*0.5+G14*0.5)*ConstructC*local_investment</f>
        <v>221532571.61481634</v>
      </c>
      <c r="G54" s="7">
        <f aca="true" t="shared" si="32" ref="G54:Z54">(I14*0.5+H14*0.5)*ConstructC*local_investment</f>
        <v>236596786.48462415</v>
      </c>
      <c r="H54" s="7">
        <f t="shared" si="32"/>
        <v>252685367.9655784</v>
      </c>
      <c r="I54" s="7">
        <f t="shared" si="32"/>
        <v>269867972.9872376</v>
      </c>
      <c r="J54" s="7">
        <f t="shared" si="32"/>
        <v>248818025.4526601</v>
      </c>
      <c r="K54" s="7">
        <f t="shared" si="32"/>
        <v>224366633.000846</v>
      </c>
      <c r="L54" s="7">
        <f t="shared" si="32"/>
        <v>235584964.65088847</v>
      </c>
      <c r="M54" s="7">
        <f t="shared" si="32"/>
        <v>247364212.8834327</v>
      </c>
      <c r="N54" s="7">
        <f t="shared" si="32"/>
        <v>259732423.5276044</v>
      </c>
      <c r="O54" s="7">
        <f t="shared" si="32"/>
        <v>272719044.7039846</v>
      </c>
      <c r="P54" s="7">
        <f t="shared" si="32"/>
        <v>286354996.93918395</v>
      </c>
      <c r="Q54" s="7">
        <f t="shared" si="32"/>
        <v>300672746.78614336</v>
      </c>
      <c r="R54" s="7">
        <f t="shared" si="32"/>
        <v>315706384.1254503</v>
      </c>
      <c r="S54" s="7">
        <f t="shared" si="32"/>
        <v>331491703.3317231</v>
      </c>
      <c r="T54" s="7">
        <f t="shared" si="32"/>
        <v>348066288.49830914</v>
      </c>
      <c r="U54" s="7">
        <f t="shared" si="32"/>
        <v>365469602.9232248</v>
      </c>
      <c r="V54" s="7">
        <f t="shared" si="32"/>
        <v>383743083.06938636</v>
      </c>
      <c r="W54" s="7">
        <f t="shared" si="32"/>
        <v>402930237.2228549</v>
      </c>
      <c r="X54" s="7">
        <f t="shared" si="32"/>
        <v>423076749.0839979</v>
      </c>
      <c r="Y54" s="7">
        <f t="shared" si="32"/>
        <v>444230586.5381978</v>
      </c>
      <c r="Z54" s="7">
        <f t="shared" si="32"/>
        <v>466442115.86510766</v>
      </c>
    </row>
    <row r="55" spans="2:26" ht="15">
      <c r="B55" t="s">
        <v>43</v>
      </c>
      <c r="F55" s="15">
        <f aca="true" t="shared" si="33" ref="F55:Z55">(H32*0.5+G32*0.5)*ConstructC*local_investment</f>
        <v>221532571.61481634</v>
      </c>
      <c r="G55" s="15">
        <f t="shared" si="33"/>
        <v>236596786.48462415</v>
      </c>
      <c r="H55" s="15">
        <f t="shared" si="33"/>
        <v>252685367.9655784</v>
      </c>
      <c r="I55" s="15">
        <f t="shared" si="33"/>
        <v>384787467.93889064</v>
      </c>
      <c r="J55" s="15">
        <f t="shared" si="33"/>
        <v>374955852.05435544</v>
      </c>
      <c r="K55" s="15">
        <f t="shared" si="33"/>
        <v>247364212.88343298</v>
      </c>
      <c r="L55" s="15">
        <f t="shared" si="33"/>
        <v>259732423.52760494</v>
      </c>
      <c r="M55" s="15">
        <f t="shared" si="33"/>
        <v>272719044.7039846</v>
      </c>
      <c r="N55" s="15">
        <f t="shared" si="33"/>
        <v>286354996.9391834</v>
      </c>
      <c r="O55" s="15">
        <f t="shared" si="33"/>
        <v>300672746.7861428</v>
      </c>
      <c r="P55" s="15">
        <f t="shared" si="33"/>
        <v>315706384.1254503</v>
      </c>
      <c r="Q55" s="15">
        <f t="shared" si="33"/>
        <v>331491703.3317231</v>
      </c>
      <c r="R55" s="15">
        <f t="shared" si="33"/>
        <v>348066288.49830914</v>
      </c>
      <c r="S55" s="15">
        <f t="shared" si="33"/>
        <v>365469602.9232248</v>
      </c>
      <c r="T55" s="15">
        <f t="shared" si="33"/>
        <v>383743083.06938636</v>
      </c>
      <c r="U55" s="15">
        <f t="shared" si="33"/>
        <v>402930237.22285545</v>
      </c>
      <c r="V55" s="15">
        <f t="shared" si="33"/>
        <v>423076749.08399844</v>
      </c>
      <c r="W55" s="15">
        <f t="shared" si="33"/>
        <v>444230586.5381978</v>
      </c>
      <c r="X55" s="15">
        <f t="shared" si="33"/>
        <v>466442115.86510664</v>
      </c>
      <c r="Y55" s="15">
        <f t="shared" si="33"/>
        <v>489764221.6583618</v>
      </c>
      <c r="Z55" s="15">
        <f t="shared" si="33"/>
        <v>514252432.74128103</v>
      </c>
    </row>
    <row r="56" spans="2:26" ht="15">
      <c r="B56" t="s">
        <v>44</v>
      </c>
      <c r="F56" s="7">
        <f>F55-F54</f>
        <v>0</v>
      </c>
      <c r="G56" s="7">
        <f aca="true" t="shared" si="34" ref="G56:P56">G55-G54</f>
        <v>0</v>
      </c>
      <c r="H56" s="7">
        <f t="shared" si="34"/>
        <v>0</v>
      </c>
      <c r="I56" s="7">
        <f t="shared" si="34"/>
        <v>114919494.95165306</v>
      </c>
      <c r="J56" s="7">
        <f t="shared" si="34"/>
        <v>126137826.60169533</v>
      </c>
      <c r="K56" s="7">
        <f t="shared" si="34"/>
        <v>22997579.882586986</v>
      </c>
      <c r="L56" s="7">
        <f t="shared" si="34"/>
        <v>24147458.876716465</v>
      </c>
      <c r="M56" s="7">
        <f t="shared" si="34"/>
        <v>25354831.82055193</v>
      </c>
      <c r="N56" s="7">
        <f t="shared" si="34"/>
        <v>26622573.411579013</v>
      </c>
      <c r="O56" s="7">
        <f t="shared" si="34"/>
        <v>27953702.082158208</v>
      </c>
      <c r="P56" s="7">
        <f t="shared" si="34"/>
        <v>29351387.186266363</v>
      </c>
      <c r="Q56" s="7">
        <f>Q55-Q54</f>
        <v>30818956.54557973</v>
      </c>
      <c r="R56" s="7">
        <f aca="true" t="shared" si="35" ref="R56:Z56">R55-R54</f>
        <v>32359904.372858822</v>
      </c>
      <c r="S56" s="7">
        <f t="shared" si="35"/>
        <v>33977899.59150171</v>
      </c>
      <c r="T56" s="7">
        <f t="shared" si="35"/>
        <v>35676794.57107723</v>
      </c>
      <c r="U56" s="7">
        <f t="shared" si="35"/>
        <v>37460634.29963064</v>
      </c>
      <c r="V56" s="7">
        <f t="shared" si="35"/>
        <v>39333666.01461208</v>
      </c>
      <c r="W56" s="7">
        <f t="shared" si="35"/>
        <v>41300349.3153429</v>
      </c>
      <c r="X56" s="7">
        <f t="shared" si="35"/>
        <v>43365366.78110874</v>
      </c>
      <c r="Y56" s="7">
        <f t="shared" si="35"/>
        <v>45533635.12016398</v>
      </c>
      <c r="Z56" s="7">
        <f t="shared" si="35"/>
        <v>47810316.87617338</v>
      </c>
    </row>
    <row r="57" ht="15">
      <c r="F57" s="11"/>
    </row>
    <row r="58" spans="5:26" ht="15">
      <c r="E58" s="297" t="s">
        <v>28</v>
      </c>
      <c r="F58" s="12">
        <v>0</v>
      </c>
      <c r="G58" s="12">
        <v>1</v>
      </c>
      <c r="H58" s="12">
        <v>2</v>
      </c>
      <c r="I58" s="12">
        <v>3</v>
      </c>
      <c r="J58" s="12">
        <v>4</v>
      </c>
      <c r="K58" s="12">
        <v>5</v>
      </c>
      <c r="L58" s="12">
        <v>6</v>
      </c>
      <c r="M58" s="12">
        <v>7</v>
      </c>
      <c r="N58" s="12">
        <v>8</v>
      </c>
      <c r="O58" s="12">
        <v>9</v>
      </c>
      <c r="P58" s="12">
        <v>10</v>
      </c>
      <c r="Q58" s="12">
        <v>11</v>
      </c>
      <c r="R58" s="12">
        <v>12</v>
      </c>
      <c r="S58" s="12">
        <v>13</v>
      </c>
      <c r="T58" s="12">
        <v>14</v>
      </c>
      <c r="U58" s="12">
        <v>15</v>
      </c>
      <c r="V58" s="12">
        <v>16</v>
      </c>
      <c r="W58" s="12">
        <v>17</v>
      </c>
      <c r="X58" s="12">
        <v>18</v>
      </c>
      <c r="Y58" s="12">
        <v>19</v>
      </c>
      <c r="Z58" s="12">
        <v>20</v>
      </c>
    </row>
    <row r="59" spans="5:26" ht="15">
      <c r="E59" s="298">
        <v>2010</v>
      </c>
      <c r="F59" s="298">
        <v>2011</v>
      </c>
      <c r="G59" s="298">
        <v>2012</v>
      </c>
      <c r="H59" s="298">
        <v>2013</v>
      </c>
      <c r="I59" s="298">
        <v>2014</v>
      </c>
      <c r="J59" s="298">
        <v>2015</v>
      </c>
      <c r="K59" s="298">
        <v>2016</v>
      </c>
      <c r="L59" s="298">
        <v>2017</v>
      </c>
      <c r="M59" s="298">
        <v>2018</v>
      </c>
      <c r="N59" s="298">
        <v>2019</v>
      </c>
      <c r="O59" s="298">
        <v>2020</v>
      </c>
      <c r="P59" s="298">
        <v>2021</v>
      </c>
      <c r="Q59" s="298">
        <v>2022</v>
      </c>
      <c r="R59" s="298">
        <v>2023</v>
      </c>
      <c r="S59" s="298">
        <v>2024</v>
      </c>
      <c r="T59" s="298">
        <v>2025</v>
      </c>
      <c r="U59" s="298">
        <v>2026</v>
      </c>
      <c r="V59" s="298">
        <v>2027</v>
      </c>
      <c r="W59" s="298">
        <v>2028</v>
      </c>
      <c r="X59" s="298">
        <v>2029</v>
      </c>
      <c r="Y59" s="298">
        <v>2030</v>
      </c>
      <c r="Z59" s="298">
        <v>2031</v>
      </c>
    </row>
    <row r="60" spans="2:26" ht="15">
      <c r="B60" t="s">
        <v>76</v>
      </c>
      <c r="F60" s="4">
        <f aca="true" t="shared" si="36" ref="F60:Z60">(F32-F14)*30</f>
        <v>0</v>
      </c>
      <c r="G60" s="4">
        <f t="shared" si="36"/>
        <v>0</v>
      </c>
      <c r="H60" s="4">
        <f t="shared" si="36"/>
        <v>0</v>
      </c>
      <c r="I60" s="4">
        <f t="shared" si="36"/>
        <v>0</v>
      </c>
      <c r="J60" s="4">
        <f t="shared" si="36"/>
        <v>0</v>
      </c>
      <c r="K60" s="4">
        <f t="shared" si="36"/>
        <v>90.45218020594497</v>
      </c>
      <c r="L60" s="4">
        <f t="shared" si="36"/>
        <v>8.829855686770713</v>
      </c>
      <c r="M60" s="4">
        <f t="shared" si="36"/>
        <v>9.271348471109633</v>
      </c>
      <c r="N60" s="4">
        <f t="shared" si="36"/>
        <v>9.734915894664837</v>
      </c>
      <c r="O60" s="4">
        <f t="shared" si="36"/>
        <v>10.221661689398047</v>
      </c>
      <c r="P60" s="4">
        <f t="shared" si="36"/>
        <v>10.732744773867609</v>
      </c>
      <c r="Q60" s="4">
        <f t="shared" si="36"/>
        <v>11.269382012561522</v>
      </c>
      <c r="R60" s="4">
        <f t="shared" si="36"/>
        <v>11.832851113189236</v>
      </c>
      <c r="S60" s="4">
        <f t="shared" si="36"/>
        <v>12.424493668849124</v>
      </c>
      <c r="T60" s="4">
        <f t="shared" si="36"/>
        <v>13.04571835229126</v>
      </c>
      <c r="U60" s="4">
        <f t="shared" si="36"/>
        <v>13.698004269906079</v>
      </c>
      <c r="V60" s="4">
        <f t="shared" si="36"/>
        <v>14.382904483401404</v>
      </c>
      <c r="W60" s="4">
        <f t="shared" si="36"/>
        <v>15.102049707571155</v>
      </c>
      <c r="X60" s="4">
        <f t="shared" si="36"/>
        <v>15.857152192949968</v>
      </c>
      <c r="Y60" s="4">
        <f t="shared" si="36"/>
        <v>16.65000980259734</v>
      </c>
      <c r="Z60" s="4">
        <f t="shared" si="36"/>
        <v>17.482510292726374</v>
      </c>
    </row>
    <row r="61" spans="2:26" ht="15">
      <c r="B61" t="s">
        <v>77</v>
      </c>
      <c r="F61" s="4">
        <f aca="true" t="shared" si="37" ref="F61:Z61">F14*30</f>
        <v>78.94800000000018</v>
      </c>
      <c r="G61" s="4">
        <f t="shared" si="37"/>
        <v>84.31646399999998</v>
      </c>
      <c r="H61" s="4">
        <f t="shared" si="37"/>
        <v>90.0499835520003</v>
      </c>
      <c r="I61" s="4">
        <f t="shared" si="37"/>
        <v>96.17338243353622</v>
      </c>
      <c r="J61" s="4">
        <f t="shared" si="37"/>
        <v>102.71317243901663</v>
      </c>
      <c r="K61" s="4">
        <f t="shared" si="37"/>
        <v>109.69766816486967</v>
      </c>
      <c r="L61" s="4">
        <f t="shared" si="37"/>
        <v>86.14493352947122</v>
      </c>
      <c r="M61" s="4">
        <f t="shared" si="37"/>
        <v>90.45218020594476</v>
      </c>
      <c r="N61" s="4">
        <f t="shared" si="37"/>
        <v>94.97478921624214</v>
      </c>
      <c r="O61" s="4">
        <f t="shared" si="37"/>
        <v>99.72352867705396</v>
      </c>
      <c r="P61" s="4">
        <f t="shared" si="37"/>
        <v>104.70970511090698</v>
      </c>
      <c r="Q61" s="4">
        <f t="shared" si="37"/>
        <v>109.94519036645201</v>
      </c>
      <c r="R61" s="4">
        <f t="shared" si="37"/>
        <v>115.44244988477502</v>
      </c>
      <c r="S61" s="4">
        <f t="shared" si="37"/>
        <v>121.21457237901353</v>
      </c>
      <c r="T61" s="4">
        <f t="shared" si="37"/>
        <v>127.27530099796425</v>
      </c>
      <c r="U61" s="4">
        <f t="shared" si="37"/>
        <v>133.63906604786266</v>
      </c>
      <c r="V61" s="4">
        <f t="shared" si="37"/>
        <v>140.3210193502555</v>
      </c>
      <c r="W61" s="4">
        <f t="shared" si="37"/>
        <v>147.33707031776873</v>
      </c>
      <c r="X61" s="4">
        <f t="shared" si="37"/>
        <v>154.70392383365692</v>
      </c>
      <c r="Y61" s="4">
        <f t="shared" si="37"/>
        <v>162.43912002533946</v>
      </c>
      <c r="Z61" s="4">
        <f t="shared" si="37"/>
        <v>170.56107602660688</v>
      </c>
    </row>
    <row r="62" spans="2:26" ht="15">
      <c r="B62" t="s">
        <v>91</v>
      </c>
      <c r="F62" s="4">
        <f aca="true" t="shared" si="38" ref="F62:Z62">F32*30</f>
        <v>78.94800000000018</v>
      </c>
      <c r="G62" s="4">
        <f t="shared" si="38"/>
        <v>84.31646399999998</v>
      </c>
      <c r="H62" s="4">
        <f t="shared" si="38"/>
        <v>90.0499835520003</v>
      </c>
      <c r="I62" s="4">
        <f t="shared" si="38"/>
        <v>96.17338243353622</v>
      </c>
      <c r="J62" s="4">
        <f t="shared" si="38"/>
        <v>102.71317243901663</v>
      </c>
      <c r="K62" s="4">
        <f t="shared" si="38"/>
        <v>200.14984837081465</v>
      </c>
      <c r="L62" s="4">
        <f t="shared" si="38"/>
        <v>94.97478921624193</v>
      </c>
      <c r="M62" s="4">
        <f t="shared" si="38"/>
        <v>99.72352867705439</v>
      </c>
      <c r="N62" s="4">
        <f t="shared" si="38"/>
        <v>104.70970511090698</v>
      </c>
      <c r="O62" s="4">
        <f t="shared" si="38"/>
        <v>109.94519036645201</v>
      </c>
      <c r="P62" s="4">
        <f t="shared" si="38"/>
        <v>115.44244988477459</v>
      </c>
      <c r="Q62" s="4">
        <f t="shared" si="38"/>
        <v>121.21457237901353</v>
      </c>
      <c r="R62" s="4">
        <f t="shared" si="38"/>
        <v>127.27530099796425</v>
      </c>
      <c r="S62" s="4">
        <f t="shared" si="38"/>
        <v>133.63906604786266</v>
      </c>
      <c r="T62" s="4">
        <f t="shared" si="38"/>
        <v>140.3210193502555</v>
      </c>
      <c r="U62" s="4">
        <f t="shared" si="38"/>
        <v>147.33707031776873</v>
      </c>
      <c r="V62" s="4">
        <f t="shared" si="38"/>
        <v>154.70392383365692</v>
      </c>
      <c r="W62" s="4">
        <f t="shared" si="38"/>
        <v>162.4391200253399</v>
      </c>
      <c r="X62" s="4">
        <f t="shared" si="38"/>
        <v>170.56107602660688</v>
      </c>
      <c r="Y62" s="4">
        <f t="shared" si="38"/>
        <v>179.0891298279368</v>
      </c>
      <c r="Z62" s="4">
        <f t="shared" si="38"/>
        <v>188.04358631933326</v>
      </c>
    </row>
    <row r="63" spans="2:27" ht="15">
      <c r="B63" t="s">
        <v>78</v>
      </c>
      <c r="E63">
        <v>900</v>
      </c>
      <c r="F63" s="4">
        <f>E63+F61</f>
        <v>978.9480000000002</v>
      </c>
      <c r="G63" s="4">
        <f>F63+G61</f>
        <v>1063.264464</v>
      </c>
      <c r="H63" s="4">
        <f aca="true" t="shared" si="39" ref="H63:Z64">G63+H61</f>
        <v>1153.3144475520003</v>
      </c>
      <c r="I63" s="4">
        <f t="shared" si="39"/>
        <v>1249.4878299855366</v>
      </c>
      <c r="J63" s="4">
        <f t="shared" si="39"/>
        <v>1352.2010024245533</v>
      </c>
      <c r="K63" s="4">
        <f t="shared" si="39"/>
        <v>1461.8986705894229</v>
      </c>
      <c r="L63" s="4">
        <f t="shared" si="39"/>
        <v>1548.043604118894</v>
      </c>
      <c r="M63" s="4">
        <f t="shared" si="39"/>
        <v>1638.495784324839</v>
      </c>
      <c r="N63" s="4">
        <f t="shared" si="39"/>
        <v>1733.4705735410812</v>
      </c>
      <c r="O63" s="4">
        <f t="shared" si="39"/>
        <v>1833.1941022181352</v>
      </c>
      <c r="P63" s="4">
        <f t="shared" si="39"/>
        <v>1937.9038073290421</v>
      </c>
      <c r="Q63" s="4">
        <f t="shared" si="39"/>
        <v>2047.848997695494</v>
      </c>
      <c r="R63" s="4">
        <f t="shared" si="39"/>
        <v>2163.291447580269</v>
      </c>
      <c r="S63" s="4">
        <f t="shared" si="39"/>
        <v>2284.5060199592826</v>
      </c>
      <c r="T63" s="4">
        <f t="shared" si="39"/>
        <v>2411.781320957247</v>
      </c>
      <c r="U63" s="4">
        <f t="shared" si="39"/>
        <v>2545.4203870051097</v>
      </c>
      <c r="V63" s="4">
        <f t="shared" si="39"/>
        <v>2685.741406355365</v>
      </c>
      <c r="W63" s="4">
        <f t="shared" si="39"/>
        <v>2833.078476673134</v>
      </c>
      <c r="X63" s="4">
        <f t="shared" si="39"/>
        <v>2987.782400506791</v>
      </c>
      <c r="Y63" s="4">
        <f t="shared" si="39"/>
        <v>3150.2215205321304</v>
      </c>
      <c r="Z63" s="4">
        <f t="shared" si="39"/>
        <v>3320.782596558737</v>
      </c>
      <c r="AA63" s="2"/>
    </row>
    <row r="64" spans="2:26" ht="15">
      <c r="B64" t="s">
        <v>94</v>
      </c>
      <c r="E64">
        <v>900</v>
      </c>
      <c r="F64" s="4">
        <f>E64+F62</f>
        <v>978.9480000000002</v>
      </c>
      <c r="G64" s="4">
        <f>F64+G62</f>
        <v>1063.264464</v>
      </c>
      <c r="H64" s="4">
        <f t="shared" si="39"/>
        <v>1153.3144475520003</v>
      </c>
      <c r="I64" s="4">
        <f t="shared" si="39"/>
        <v>1249.4878299855366</v>
      </c>
      <c r="J64" s="4">
        <f t="shared" si="39"/>
        <v>1352.2010024245533</v>
      </c>
      <c r="K64" s="4">
        <f t="shared" si="39"/>
        <v>1552.350850795368</v>
      </c>
      <c r="L64" s="4">
        <f t="shared" si="39"/>
        <v>1647.32564001161</v>
      </c>
      <c r="M64" s="4">
        <f t="shared" si="39"/>
        <v>1747.0491686886644</v>
      </c>
      <c r="N64" s="4">
        <f t="shared" si="39"/>
        <v>1851.7588737995713</v>
      </c>
      <c r="O64" s="4">
        <f t="shared" si="39"/>
        <v>1961.7040641660233</v>
      </c>
      <c r="P64" s="4">
        <f t="shared" si="39"/>
        <v>2077.146514050798</v>
      </c>
      <c r="Q64" s="4">
        <f t="shared" si="39"/>
        <v>2198.3610864298116</v>
      </c>
      <c r="R64" s="4">
        <f t="shared" si="39"/>
        <v>2325.636387427776</v>
      </c>
      <c r="S64" s="4">
        <f t="shared" si="39"/>
        <v>2459.2754534756386</v>
      </c>
      <c r="T64" s="4">
        <f t="shared" si="39"/>
        <v>2599.596472825894</v>
      </c>
      <c r="U64" s="4">
        <f t="shared" si="39"/>
        <v>2746.933543143663</v>
      </c>
      <c r="V64" s="4">
        <f t="shared" si="39"/>
        <v>2901.63746697732</v>
      </c>
      <c r="W64" s="4">
        <f t="shared" si="39"/>
        <v>3064.07658700266</v>
      </c>
      <c r="X64" s="4">
        <f t="shared" si="39"/>
        <v>3234.6376630292666</v>
      </c>
      <c r="Y64" s="4">
        <f t="shared" si="39"/>
        <v>3413.7267928572032</v>
      </c>
      <c r="Z64" s="4">
        <f t="shared" si="39"/>
        <v>3601.7703791765366</v>
      </c>
    </row>
    <row r="65" spans="11:12" ht="15">
      <c r="K65" s="4"/>
      <c r="L65" s="4"/>
    </row>
    <row r="66" spans="2:26" ht="15">
      <c r="B66" t="s">
        <v>133</v>
      </c>
      <c r="K66" s="7">
        <f aca="true" t="shared" si="40" ref="K66:Z66">K46*EmpLondgingVA</f>
        <v>5615345.71897768</v>
      </c>
      <c r="L66" s="7">
        <f t="shared" si="40"/>
        <v>6163510.420115968</v>
      </c>
      <c r="M66" s="7">
        <f t="shared" si="40"/>
        <v>6739083.3563111825</v>
      </c>
      <c r="N66" s="7">
        <f t="shared" si="40"/>
        <v>7343434.9393161405</v>
      </c>
      <c r="O66" s="7">
        <f t="shared" si="40"/>
        <v>7978004.101471362</v>
      </c>
      <c r="P66" s="7">
        <f t="shared" si="40"/>
        <v>8644301.721734343</v>
      </c>
      <c r="Q66" s="7">
        <f t="shared" si="40"/>
        <v>9343914.223010482</v>
      </c>
      <c r="R66" s="7">
        <f t="shared" si="40"/>
        <v>10078507.349350404</v>
      </c>
      <c r="S66" s="7">
        <f t="shared" si="40"/>
        <v>10849830.132007347</v>
      </c>
      <c r="T66" s="7">
        <f t="shared" si="40"/>
        <v>11659719.053797144</v>
      </c>
      <c r="U66" s="7">
        <f t="shared" si="40"/>
        <v>12510102.421676474</v>
      </c>
      <c r="V66" s="7">
        <f t="shared" si="40"/>
        <v>13403004.957949692</v>
      </c>
      <c r="W66" s="7">
        <f t="shared" si="40"/>
        <v>14340552.621036557</v>
      </c>
      <c r="X66" s="7">
        <f t="shared" si="40"/>
        <v>15324977.66727782</v>
      </c>
      <c r="Y66" s="7">
        <f t="shared" si="40"/>
        <v>16358623.965831064</v>
      </c>
      <c r="Z66" s="7">
        <f t="shared" si="40"/>
        <v>17443952.57931205</v>
      </c>
    </row>
    <row r="67" spans="2:26" ht="15">
      <c r="B67" t="s">
        <v>136</v>
      </c>
      <c r="K67" s="7">
        <f aca="true" t="shared" si="41" ref="K67:Z67">K46*EmpTransVA</f>
        <v>606734.0037331855</v>
      </c>
      <c r="L67" s="7">
        <f t="shared" si="41"/>
        <v>665962.7993357097</v>
      </c>
      <c r="M67" s="7">
        <f t="shared" si="41"/>
        <v>728153.0347183613</v>
      </c>
      <c r="N67" s="7">
        <f t="shared" si="41"/>
        <v>793452.7818701438</v>
      </c>
      <c r="O67" s="7">
        <f t="shared" si="41"/>
        <v>862017.516379517</v>
      </c>
      <c r="P67" s="7">
        <f t="shared" si="41"/>
        <v>934010.487614359</v>
      </c>
      <c r="Q67" s="7">
        <f t="shared" si="41"/>
        <v>1009603.1074109437</v>
      </c>
      <c r="R67" s="7">
        <f t="shared" si="41"/>
        <v>1088975.3581973552</v>
      </c>
      <c r="S67" s="7">
        <f t="shared" si="41"/>
        <v>1172316.22152309</v>
      </c>
      <c r="T67" s="7">
        <f t="shared" si="41"/>
        <v>1259824.1280151121</v>
      </c>
      <c r="U67" s="7">
        <f t="shared" si="41"/>
        <v>1351707.42983174</v>
      </c>
      <c r="V67" s="7">
        <f t="shared" si="41"/>
        <v>1448184.8967391911</v>
      </c>
      <c r="W67" s="7">
        <f t="shared" si="41"/>
        <v>1549486.236992013</v>
      </c>
      <c r="X67" s="7">
        <f t="shared" si="41"/>
        <v>1655852.6442574821</v>
      </c>
      <c r="Y67" s="7">
        <f t="shared" si="41"/>
        <v>1767537.3718862156</v>
      </c>
      <c r="Z67" s="7">
        <f t="shared" si="41"/>
        <v>1884806.3358963944</v>
      </c>
    </row>
    <row r="68" spans="2:26" ht="15">
      <c r="B68" t="s">
        <v>138</v>
      </c>
      <c r="K68" s="7">
        <f aca="true" t="shared" si="42" ref="K68:Z68">K46*EmpDiscrVA</f>
        <v>8494276.052264597</v>
      </c>
      <c r="L68" s="7">
        <f t="shared" si="42"/>
        <v>9323479.190699935</v>
      </c>
      <c r="M68" s="7">
        <f t="shared" si="42"/>
        <v>10194142.48605706</v>
      </c>
      <c r="N68" s="7">
        <f t="shared" si="42"/>
        <v>11108338.946182014</v>
      </c>
      <c r="O68" s="7">
        <f t="shared" si="42"/>
        <v>12068245.22931324</v>
      </c>
      <c r="P68" s="7">
        <f t="shared" si="42"/>
        <v>13076146.826601025</v>
      </c>
      <c r="Q68" s="7">
        <f t="shared" si="42"/>
        <v>14134443.503753211</v>
      </c>
      <c r="R68" s="7">
        <f t="shared" si="42"/>
        <v>15245655.014762973</v>
      </c>
      <c r="S68" s="7">
        <f t="shared" si="42"/>
        <v>16412427.10132326</v>
      </c>
      <c r="T68" s="7">
        <f t="shared" si="42"/>
        <v>17637537.79221157</v>
      </c>
      <c r="U68" s="7">
        <f t="shared" si="42"/>
        <v>18923904.01764436</v>
      </c>
      <c r="V68" s="7">
        <f t="shared" si="42"/>
        <v>20274588.554348677</v>
      </c>
      <c r="W68" s="7">
        <f t="shared" si="42"/>
        <v>21692807.31788818</v>
      </c>
      <c r="X68" s="7">
        <f t="shared" si="42"/>
        <v>23181937.01960475</v>
      </c>
      <c r="Y68" s="7">
        <f t="shared" si="42"/>
        <v>24745523.206407018</v>
      </c>
      <c r="Z68" s="7">
        <f t="shared" si="42"/>
        <v>26387288.70254952</v>
      </c>
    </row>
    <row r="69" spans="2:26" ht="15">
      <c r="B69" t="s">
        <v>176</v>
      </c>
      <c r="K69" s="7">
        <f aca="true" t="shared" si="43" ref="K69:Z69">K46*EmpAirfareVA</f>
        <v>4550505.027998892</v>
      </c>
      <c r="L69" s="7">
        <f t="shared" si="43"/>
        <v>4994720.995017823</v>
      </c>
      <c r="M69" s="7">
        <f t="shared" si="43"/>
        <v>5461147.760387711</v>
      </c>
      <c r="N69" s="7">
        <f t="shared" si="43"/>
        <v>5950895.86402608</v>
      </c>
      <c r="O69" s="7">
        <f t="shared" si="43"/>
        <v>6465131.372846379</v>
      </c>
      <c r="P69" s="7">
        <f t="shared" si="43"/>
        <v>7005078.657107693</v>
      </c>
      <c r="Q69" s="7">
        <f t="shared" si="43"/>
        <v>7572023.305582079</v>
      </c>
      <c r="R69" s="7">
        <f t="shared" si="43"/>
        <v>8167315.186480165</v>
      </c>
      <c r="S69" s="7">
        <f t="shared" si="43"/>
        <v>8792371.661423177</v>
      </c>
      <c r="T69" s="7">
        <f t="shared" si="43"/>
        <v>9448680.960113343</v>
      </c>
      <c r="U69" s="7">
        <f t="shared" si="43"/>
        <v>10137805.723738052</v>
      </c>
      <c r="V69" s="7">
        <f t="shared" si="43"/>
        <v>10861386.725543935</v>
      </c>
      <c r="W69" s="7">
        <f t="shared" si="43"/>
        <v>11621146.777440099</v>
      </c>
      <c r="X69" s="7">
        <f t="shared" si="43"/>
        <v>12418894.831931118</v>
      </c>
      <c r="Y69" s="7">
        <f t="shared" si="43"/>
        <v>13256530.289146619</v>
      </c>
      <c r="Z69" s="7">
        <f t="shared" si="43"/>
        <v>14136047.51922296</v>
      </c>
    </row>
    <row r="70" spans="2:26" ht="15">
      <c r="B70" t="s">
        <v>140</v>
      </c>
      <c r="K70" s="15">
        <f aca="true" t="shared" si="44" ref="K70:Z70">K48*EmpConstructVA</f>
        <v>130590335.17233303</v>
      </c>
      <c r="L70" s="15">
        <f t="shared" si="44"/>
        <v>12748104.14777521</v>
      </c>
      <c r="M70" s="15">
        <f t="shared" si="44"/>
        <v>13385509.355164535</v>
      </c>
      <c r="N70" s="15">
        <f t="shared" si="44"/>
        <v>14054784.822922356</v>
      </c>
      <c r="O70" s="15">
        <f t="shared" si="44"/>
        <v>14757524.064068422</v>
      </c>
      <c r="P70" s="15">
        <f t="shared" si="44"/>
        <v>15495400.267271362</v>
      </c>
      <c r="Q70" s="15">
        <f t="shared" si="44"/>
        <v>16270170.280635707</v>
      </c>
      <c r="R70" s="15">
        <f t="shared" si="44"/>
        <v>17083678.79466697</v>
      </c>
      <c r="S70" s="15">
        <f t="shared" si="44"/>
        <v>17937862.734400928</v>
      </c>
      <c r="T70" s="15">
        <f t="shared" si="44"/>
        <v>18834755.871120527</v>
      </c>
      <c r="U70" s="15">
        <f t="shared" si="44"/>
        <v>19776493.664676905</v>
      </c>
      <c r="V70" s="15">
        <f t="shared" si="44"/>
        <v>20765318.347910777</v>
      </c>
      <c r="W70" s="15">
        <f t="shared" si="44"/>
        <v>21803584.26530586</v>
      </c>
      <c r="X70" s="15">
        <f t="shared" si="44"/>
        <v>22893763.478571475</v>
      </c>
      <c r="Y70" s="15">
        <f t="shared" si="44"/>
        <v>24038451.652499914</v>
      </c>
      <c r="Z70" s="15">
        <f t="shared" si="44"/>
        <v>25240374.23512374</v>
      </c>
    </row>
    <row r="71" spans="2:26" ht="15">
      <c r="B71" t="s">
        <v>179</v>
      </c>
      <c r="K71" s="7">
        <f>SUM(K66:K70)</f>
        <v>149857195.97530738</v>
      </c>
      <c r="L71" s="7">
        <f aca="true" t="shared" si="45" ref="L71:Z71">SUM(L66:L70)</f>
        <v>33895777.552944645</v>
      </c>
      <c r="M71" s="7">
        <f t="shared" si="45"/>
        <v>36508035.99263885</v>
      </c>
      <c r="N71" s="7">
        <f t="shared" si="45"/>
        <v>39250907.35431674</v>
      </c>
      <c r="O71" s="7">
        <f t="shared" si="45"/>
        <v>42130922.28407892</v>
      </c>
      <c r="P71" s="7">
        <f t="shared" si="45"/>
        <v>45154937.96032879</v>
      </c>
      <c r="Q71" s="7">
        <f t="shared" si="45"/>
        <v>48330154.420392424</v>
      </c>
      <c r="R71" s="7">
        <f t="shared" si="45"/>
        <v>51664131.70345787</v>
      </c>
      <c r="S71" s="7">
        <f t="shared" si="45"/>
        <v>55164807.8506778</v>
      </c>
      <c r="T71" s="7">
        <f t="shared" si="45"/>
        <v>58840517.80525769</v>
      </c>
      <c r="U71" s="7">
        <f t="shared" si="45"/>
        <v>62700013.25756753</v>
      </c>
      <c r="V71" s="7">
        <f t="shared" si="45"/>
        <v>66752483.48249227</v>
      </c>
      <c r="W71" s="7">
        <f t="shared" si="45"/>
        <v>71007577.21866271</v>
      </c>
      <c r="X71" s="7">
        <f t="shared" si="45"/>
        <v>75475425.64164265</v>
      </c>
      <c r="Y71" s="7">
        <f t="shared" si="45"/>
        <v>80166666.48577082</v>
      </c>
      <c r="Z71" s="7">
        <f t="shared" si="45"/>
        <v>85092469.37210466</v>
      </c>
    </row>
    <row r="72" spans="2:26" ht="15">
      <c r="B72" t="s">
        <v>147</v>
      </c>
      <c r="K72" s="7">
        <f aca="true" t="shared" si="46" ref="K72:Z72">K46*Taxes</f>
        <v>20952547.595586006</v>
      </c>
      <c r="L72" s="7">
        <f t="shared" si="46"/>
        <v>22997915.33705984</v>
      </c>
      <c r="M72" s="7">
        <f t="shared" si="46"/>
        <v>25145551.465607412</v>
      </c>
      <c r="N72" s="7">
        <f t="shared" si="46"/>
        <v>27400569.400582302</v>
      </c>
      <c r="O72" s="7">
        <f t="shared" si="46"/>
        <v>29768338.23230599</v>
      </c>
      <c r="P72" s="7">
        <f t="shared" si="46"/>
        <v>32254495.505615864</v>
      </c>
      <c r="Q72" s="7">
        <f t="shared" si="46"/>
        <v>34864960.64259125</v>
      </c>
      <c r="R72" s="7">
        <f t="shared" si="46"/>
        <v>37605949.03641534</v>
      </c>
      <c r="S72" s="7">
        <f t="shared" si="46"/>
        <v>40483986.84993071</v>
      </c>
      <c r="T72" s="7">
        <f t="shared" si="46"/>
        <v>43505926.554121874</v>
      </c>
      <c r="U72" s="7">
        <f t="shared" si="46"/>
        <v>46678963.24352276</v>
      </c>
      <c r="V72" s="7">
        <f t="shared" si="46"/>
        <v>50010651.7673934</v>
      </c>
      <c r="W72" s="7">
        <f t="shared" si="46"/>
        <v>53508924.71745752</v>
      </c>
      <c r="X72" s="7">
        <f t="shared" si="46"/>
        <v>57182111.315025054</v>
      </c>
      <c r="Y72" s="7">
        <f t="shared" si="46"/>
        <v>61038957.24247065</v>
      </c>
      <c r="Z72" s="7">
        <f t="shared" si="46"/>
        <v>65088645.46628883</v>
      </c>
    </row>
    <row r="73" spans="2:26" ht="15">
      <c r="B73" t="s">
        <v>180</v>
      </c>
      <c r="K73" s="7">
        <f aca="true" t="shared" si="47" ref="K73:Z73">K50-K71-K72</f>
        <v>48792421.1390225</v>
      </c>
      <c r="L73" s="7">
        <f t="shared" si="47"/>
        <v>10025379.097530276</v>
      </c>
      <c r="M73" s="7">
        <f t="shared" si="47"/>
        <v>10777234.215022057</v>
      </c>
      <c r="N73" s="7">
        <f t="shared" si="47"/>
        <v>11566682.08838771</v>
      </c>
      <c r="O73" s="7">
        <f t="shared" si="47"/>
        <v>12395602.355421714</v>
      </c>
      <c r="P73" s="7">
        <f t="shared" si="47"/>
        <v>13265968.63580763</v>
      </c>
      <c r="Q73" s="7">
        <f t="shared" si="47"/>
        <v>14179853.23021324</v>
      </c>
      <c r="R73" s="7">
        <f t="shared" si="47"/>
        <v>15139432.054338656</v>
      </c>
      <c r="S73" s="7">
        <f t="shared" si="47"/>
        <v>16146989.819670416</v>
      </c>
      <c r="T73" s="7">
        <f t="shared" si="47"/>
        <v>17204925.47326847</v>
      </c>
      <c r="U73" s="7">
        <f t="shared" si="47"/>
        <v>18315757.909547083</v>
      </c>
      <c r="V73" s="7">
        <f t="shared" si="47"/>
        <v>19482131.967639334</v>
      </c>
      <c r="W73" s="7">
        <f t="shared" si="47"/>
        <v>20706824.728635833</v>
      </c>
      <c r="X73" s="7">
        <f t="shared" si="47"/>
        <v>21992752.12768265</v>
      </c>
      <c r="Y73" s="7">
        <f t="shared" si="47"/>
        <v>23342975.896681517</v>
      </c>
      <c r="Z73" s="7">
        <f t="shared" si="47"/>
        <v>24760710.85413023</v>
      </c>
    </row>
    <row r="74" spans="11:26" ht="15">
      <c r="K74" s="7"/>
      <c r="L74" s="7"/>
      <c r="M74" s="7"/>
      <c r="N74" s="7"/>
      <c r="O74" s="7"/>
      <c r="P74" s="7"/>
      <c r="Q74" s="7"/>
      <c r="R74" s="7"/>
      <c r="S74" s="7"/>
      <c r="T74" s="7"/>
      <c r="U74" s="7"/>
      <c r="V74" s="7"/>
      <c r="W74" s="7"/>
      <c r="X74" s="7"/>
      <c r="Y74" s="7"/>
      <c r="Z74" s="7"/>
    </row>
    <row r="75" spans="2:26" ht="15">
      <c r="B75" t="s">
        <v>134</v>
      </c>
      <c r="K75" s="4">
        <f aca="true" t="shared" si="48" ref="K75:Z75">K66/(mosalary*12)</f>
        <v>17.235560831730144</v>
      </c>
      <c r="L75" s="4">
        <f t="shared" si="48"/>
        <v>18.91807986530377</v>
      </c>
      <c r="M75" s="4">
        <f t="shared" si="48"/>
        <v>20.684724850556115</v>
      </c>
      <c r="N75" s="4">
        <f t="shared" si="48"/>
        <v>22.539702085071028</v>
      </c>
      <c r="O75" s="4">
        <f t="shared" si="48"/>
        <v>24.48742818131173</v>
      </c>
      <c r="P75" s="4">
        <f t="shared" si="48"/>
        <v>26.532540582364465</v>
      </c>
      <c r="Q75" s="4">
        <f t="shared" si="48"/>
        <v>28.679908603469865</v>
      </c>
      <c r="R75" s="4">
        <f t="shared" si="48"/>
        <v>30.93464502563046</v>
      </c>
      <c r="S75" s="4">
        <f t="shared" si="48"/>
        <v>33.302118268899164</v>
      </c>
      <c r="T75" s="4">
        <f t="shared" si="48"/>
        <v>35.78796517433132</v>
      </c>
      <c r="U75" s="4">
        <f t="shared" si="48"/>
        <v>38.398104425035214</v>
      </c>
      <c r="V75" s="4">
        <f t="shared" si="48"/>
        <v>41.13875063827407</v>
      </c>
      <c r="W75" s="4">
        <f t="shared" si="48"/>
        <v>44.01642916217482</v>
      </c>
      <c r="X75" s="4">
        <f t="shared" si="48"/>
        <v>47.03799161227078</v>
      </c>
      <c r="Y75" s="4">
        <f t="shared" si="48"/>
        <v>50.21063218487128</v>
      </c>
      <c r="Z75" s="4">
        <f t="shared" si="48"/>
        <v>53.54190478610205</v>
      </c>
    </row>
    <row r="76" spans="2:26" ht="15">
      <c r="B76" t="s">
        <v>137</v>
      </c>
      <c r="K76" s="4">
        <f aca="true" t="shared" si="49" ref="K76:Z76">K67/(mosalary*12)</f>
        <v>1.8622897597703667</v>
      </c>
      <c r="L76" s="4">
        <f t="shared" si="49"/>
        <v>2.044084712509852</v>
      </c>
      <c r="M76" s="4">
        <f t="shared" si="49"/>
        <v>2.234969412886315</v>
      </c>
      <c r="N76" s="4">
        <f t="shared" si="49"/>
        <v>2.4353983482815957</v>
      </c>
      <c r="O76" s="4">
        <f t="shared" si="49"/>
        <v>2.6458487304466454</v>
      </c>
      <c r="P76" s="4">
        <f t="shared" si="49"/>
        <v>2.8668216317199477</v>
      </c>
      <c r="Q76" s="4">
        <f t="shared" si="49"/>
        <v>3.0988431780569177</v>
      </c>
      <c r="R76" s="4">
        <f t="shared" si="49"/>
        <v>3.342465801710728</v>
      </c>
      <c r="S76" s="4">
        <f t="shared" si="49"/>
        <v>3.598269556547238</v>
      </c>
      <c r="T76" s="4">
        <f t="shared" si="49"/>
        <v>3.8668634991255746</v>
      </c>
      <c r="U76" s="4">
        <f t="shared" si="49"/>
        <v>4.148887138832842</v>
      </c>
      <c r="V76" s="4">
        <f t="shared" si="49"/>
        <v>4.445011960525449</v>
      </c>
      <c r="W76" s="4">
        <f t="shared" si="49"/>
        <v>4.755943023302679</v>
      </c>
      <c r="X76" s="4">
        <f t="shared" si="49"/>
        <v>5.082420639218791</v>
      </c>
      <c r="Y76" s="4">
        <f t="shared" si="49"/>
        <v>5.425222135930681</v>
      </c>
      <c r="Z76" s="4">
        <f t="shared" si="49"/>
        <v>5.7851637074781905</v>
      </c>
    </row>
    <row r="77" spans="2:26" ht="15">
      <c r="B77" t="s">
        <v>139</v>
      </c>
      <c r="K77" s="4">
        <f aca="true" t="shared" si="50" ref="K77:Z77">K68/(mosalary*12)</f>
        <v>26.072056636785135</v>
      </c>
      <c r="L77" s="4">
        <f t="shared" si="50"/>
        <v>28.61718597513792</v>
      </c>
      <c r="M77" s="4">
        <f t="shared" si="50"/>
        <v>31.28957178040841</v>
      </c>
      <c r="N77" s="4">
        <f t="shared" si="50"/>
        <v>34.09557687594234</v>
      </c>
      <c r="O77" s="4">
        <f t="shared" si="50"/>
        <v>37.04188222625304</v>
      </c>
      <c r="P77" s="4">
        <f t="shared" si="50"/>
        <v>40.13550284407926</v>
      </c>
      <c r="Q77" s="4">
        <f t="shared" si="50"/>
        <v>43.38380449279684</v>
      </c>
      <c r="R77" s="4">
        <f t="shared" si="50"/>
        <v>46.79452122395019</v>
      </c>
      <c r="S77" s="4">
        <f t="shared" si="50"/>
        <v>50.375773791661324</v>
      </c>
      <c r="T77" s="4">
        <f t="shared" si="50"/>
        <v>54.13608898775804</v>
      </c>
      <c r="U77" s="4">
        <f t="shared" si="50"/>
        <v>58.084419943659796</v>
      </c>
      <c r="V77" s="4">
        <f t="shared" si="50"/>
        <v>62.23016744735629</v>
      </c>
      <c r="W77" s="4">
        <f t="shared" si="50"/>
        <v>66.58320232623751</v>
      </c>
      <c r="X77" s="4">
        <f t="shared" si="50"/>
        <v>71.15388894906307</v>
      </c>
      <c r="Y77" s="4">
        <f t="shared" si="50"/>
        <v>75.95310990302953</v>
      </c>
      <c r="Z77" s="4">
        <f t="shared" si="50"/>
        <v>80.99229190469467</v>
      </c>
    </row>
    <row r="78" spans="2:26" ht="15">
      <c r="B78" t="s">
        <v>178</v>
      </c>
      <c r="K78" s="4">
        <f>K69/((mosalary*12)*(1-BA_Data!$G35)+32000*12*BA_Data!$G35)</f>
        <v>12.615061621198969</v>
      </c>
      <c r="L78" s="4">
        <f>L69/((mosalary*12)*(1-BA_Data!$G35)+32000*12*BA_Data!$G35)</f>
        <v>13.846531922315988</v>
      </c>
      <c r="M78" s="4">
        <f>M69/((mosalary*12)*(1-BA_Data!$G35)+32000*12*BA_Data!$G35)</f>
        <v>15.139575738488887</v>
      </c>
      <c r="N78" s="4">
        <f>N69/((mosalary*12)*(1-BA_Data!$G35)+32000*12*BA_Data!$G35)</f>
        <v>16.497271745470393</v>
      </c>
      <c r="O78" s="4">
        <f>O69/((mosalary*12)*(1-BA_Data!$G35)+32000*12*BA_Data!$G35)</f>
        <v>17.922852552801007</v>
      </c>
      <c r="P78" s="4">
        <f>P69/((mosalary*12)*(1-BA_Data!$G35)+32000*12*BA_Data!$G35)</f>
        <v>19.419712400498153</v>
      </c>
      <c r="Q78" s="4">
        <f>Q69/((mosalary*12)*(1-BA_Data!$G35)+32000*12*BA_Data!$G35)</f>
        <v>20.99141524058017</v>
      </c>
      <c r="R78" s="4">
        <f>R69/((mosalary*12)*(1-BA_Data!$G35)+32000*12*BA_Data!$G35)</f>
        <v>22.641703222666237</v>
      </c>
      <c r="S78" s="4">
        <f>S69/((mosalary*12)*(1-BA_Data!$G35)+32000*12*BA_Data!$G35)</f>
        <v>24.374505603856665</v>
      </c>
      <c r="T78" s="4">
        <f>T69/((mosalary*12)*(1-BA_Data!$G35)+32000*12*BA_Data!$G35)</f>
        <v>26.193948104106628</v>
      </c>
      <c r="U78" s="4">
        <f>U69/((mosalary*12)*(1-BA_Data!$G35)+32000*12*BA_Data!$G35)</f>
        <v>28.104362729369182</v>
      </c>
      <c r="V78" s="4">
        <f>V69/((mosalary*12)*(1-BA_Data!$G35)+32000*12*BA_Data!$G35)</f>
        <v>30.110298085894698</v>
      </c>
      <c r="W78" s="4">
        <f>W69/((mosalary*12)*(1-BA_Data!$G35)+32000*12*BA_Data!$G35)</f>
        <v>32.21653021024645</v>
      </c>
      <c r="X78" s="4">
        <f>X69/((mosalary*12)*(1-BA_Data!$G35)+32000*12*BA_Data!$G35)</f>
        <v>34.42807394081592</v>
      </c>
      <c r="Y78" s="4">
        <f>Y69/((mosalary*12)*(1-BA_Data!$G35)+32000*12*BA_Data!$G35)</f>
        <v>36.75019485791367</v>
      </c>
      <c r="Z78" s="4">
        <f>Z69/((mosalary*12)*(1-BA_Data!$G35)+32000*12*BA_Data!$G35)</f>
        <v>39.18842182086649</v>
      </c>
    </row>
    <row r="79" spans="2:26" ht="15">
      <c r="B79" t="s">
        <v>141</v>
      </c>
      <c r="K79" s="4">
        <f aca="true" t="shared" si="51" ref="K79:Z79">K70/(mosalary*12)</f>
        <v>400.82975804890435</v>
      </c>
      <c r="L79" s="4">
        <f t="shared" si="51"/>
        <v>39.12861923810684</v>
      </c>
      <c r="M79" s="4">
        <f t="shared" si="51"/>
        <v>41.08505020001392</v>
      </c>
      <c r="N79" s="4">
        <f t="shared" si="51"/>
        <v>43.139302710013375</v>
      </c>
      <c r="O79" s="4">
        <f t="shared" si="51"/>
        <v>45.29626784551388</v>
      </c>
      <c r="P79" s="4">
        <f t="shared" si="51"/>
        <v>47.561081237788095</v>
      </c>
      <c r="Q79" s="4">
        <f t="shared" si="51"/>
        <v>49.93913529967989</v>
      </c>
      <c r="R79" s="4">
        <f t="shared" si="51"/>
        <v>52.43609206466227</v>
      </c>
      <c r="S79" s="4">
        <f t="shared" si="51"/>
        <v>55.05789666789726</v>
      </c>
      <c r="T79" s="4">
        <f t="shared" si="51"/>
        <v>57.81079150129075</v>
      </c>
      <c r="U79" s="4">
        <f t="shared" si="51"/>
        <v>60.70133107635637</v>
      </c>
      <c r="V79" s="4">
        <f t="shared" si="51"/>
        <v>63.73639763017427</v>
      </c>
      <c r="W79" s="4">
        <f t="shared" si="51"/>
        <v>66.92321751168159</v>
      </c>
      <c r="X79" s="4">
        <f t="shared" si="51"/>
        <v>70.26937838726666</v>
      </c>
      <c r="Y79" s="4">
        <f t="shared" si="51"/>
        <v>73.78284730662958</v>
      </c>
      <c r="Z79" s="4">
        <f t="shared" si="51"/>
        <v>77.47198967195746</v>
      </c>
    </row>
  </sheetData>
  <sheetProtection/>
  <mergeCells count="1">
    <mergeCell ref="B1:J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AU80"/>
  <sheetViews>
    <sheetView zoomScalePageLayoutView="0" workbookViewId="0" topLeftCell="A1">
      <selection activeCell="B2" sqref="B2"/>
    </sheetView>
  </sheetViews>
  <sheetFormatPr defaultColWidth="9.140625" defaultRowHeight="15"/>
  <cols>
    <col min="1" max="1" width="7.7109375" style="0" customWidth="1"/>
    <col min="5" max="5" width="11.421875" style="0" customWidth="1"/>
    <col min="7" max="7" width="13.7109375" style="0" customWidth="1"/>
    <col min="8" max="8" width="12.8515625" style="0" customWidth="1"/>
    <col min="9" max="9" width="12.57421875" style="0" customWidth="1"/>
    <col min="11" max="11" width="3.7109375" style="0" customWidth="1"/>
    <col min="13" max="13" width="12.00390625" style="0" customWidth="1"/>
    <col min="15" max="15" width="14.7109375" style="0" customWidth="1"/>
    <col min="16" max="16" width="12.7109375" style="0" customWidth="1"/>
    <col min="17" max="17" width="10.8515625" style="0" customWidth="1"/>
    <col min="20" max="20" width="19.7109375" style="0" customWidth="1"/>
  </cols>
  <sheetData>
    <row r="1" spans="2:15" s="127" customFormat="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382"/>
      <c r="J1" s="382"/>
      <c r="K1" s="296"/>
      <c r="L1" s="296"/>
      <c r="O1" s="242" t="str">
        <f>'User''s Guide'!C1</f>
        <v>Last  Updated : 'September 2011</v>
      </c>
    </row>
    <row r="2" spans="1:7" s="133" customFormat="1" ht="20.25">
      <c r="A2" s="130"/>
      <c r="B2" s="131" t="s">
        <v>432</v>
      </c>
      <c r="C2" s="130"/>
      <c r="D2" s="130"/>
      <c r="E2" s="130"/>
      <c r="F2" s="130"/>
      <c r="G2" s="132"/>
    </row>
    <row r="3" spans="1:7" s="133" customFormat="1" ht="20.25" customHeight="1">
      <c r="A3" s="130"/>
      <c r="B3" s="134"/>
      <c r="C3" s="130"/>
      <c r="D3" s="130"/>
      <c r="E3" s="130"/>
      <c r="F3" s="130"/>
      <c r="G3" s="130"/>
    </row>
    <row r="4" ht="15">
      <c r="B4" s="12" t="s">
        <v>125</v>
      </c>
    </row>
    <row r="5" ht="15">
      <c r="B5" s="12" t="s">
        <v>23</v>
      </c>
    </row>
    <row r="7" ht="15">
      <c r="B7" s="300" t="s">
        <v>12</v>
      </c>
    </row>
    <row r="8" ht="15">
      <c r="D8" t="s">
        <v>13</v>
      </c>
    </row>
    <row r="9" spans="4:30" ht="15">
      <c r="D9" s="12" t="s">
        <v>397</v>
      </c>
      <c r="AC9" s="6"/>
      <c r="AD9" s="6"/>
    </row>
    <row r="10" spans="4:30" ht="30">
      <c r="D10" s="1" t="s">
        <v>1</v>
      </c>
      <c r="E10" s="1" t="s">
        <v>3</v>
      </c>
      <c r="F10" s="1" t="s">
        <v>4</v>
      </c>
      <c r="G10" s="1" t="s">
        <v>2</v>
      </c>
      <c r="H10" s="1" t="s">
        <v>5</v>
      </c>
      <c r="I10" s="1" t="s">
        <v>6</v>
      </c>
      <c r="L10" s="1" t="s">
        <v>1</v>
      </c>
      <c r="M10" s="1" t="s">
        <v>3</v>
      </c>
      <c r="N10" s="1" t="s">
        <v>4</v>
      </c>
      <c r="O10" s="1" t="s">
        <v>2</v>
      </c>
      <c r="P10" s="1" t="s">
        <v>5</v>
      </c>
      <c r="Q10" s="1" t="s">
        <v>6</v>
      </c>
      <c r="AC10" s="6"/>
      <c r="AD10" s="6"/>
    </row>
    <row r="11" spans="4:26" ht="30">
      <c r="D11" s="301" t="s">
        <v>396</v>
      </c>
      <c r="E11" s="301" t="s">
        <v>423</v>
      </c>
      <c r="F11" s="301" t="s">
        <v>398</v>
      </c>
      <c r="G11" s="301" t="s">
        <v>399</v>
      </c>
      <c r="H11" s="301" t="s">
        <v>400</v>
      </c>
      <c r="I11" s="301" t="s">
        <v>401</v>
      </c>
      <c r="J11" s="301" t="s">
        <v>7</v>
      </c>
      <c r="L11" s="301" t="s">
        <v>396</v>
      </c>
      <c r="M11" s="301" t="s">
        <v>423</v>
      </c>
      <c r="N11" s="301" t="s">
        <v>398</v>
      </c>
      <c r="O11" s="301" t="s">
        <v>399</v>
      </c>
      <c r="P11" s="301" t="s">
        <v>400</v>
      </c>
      <c r="Q11" s="301" t="s">
        <v>401</v>
      </c>
      <c r="R11" s="301"/>
      <c r="Z11" t="s">
        <v>100</v>
      </c>
    </row>
    <row r="12" spans="4:47" ht="15">
      <c r="D12" s="12" t="s">
        <v>8</v>
      </c>
      <c r="E12" s="12" t="s">
        <v>8</v>
      </c>
      <c r="F12" s="12" t="s">
        <v>8</v>
      </c>
      <c r="G12" s="12" t="s">
        <v>9</v>
      </c>
      <c r="H12" s="12" t="s">
        <v>10</v>
      </c>
      <c r="I12" s="12" t="s">
        <v>11</v>
      </c>
      <c r="J12" s="12" t="s">
        <v>8</v>
      </c>
      <c r="U12" s="12"/>
      <c r="V12" s="12"/>
      <c r="W12" s="12">
        <v>0</v>
      </c>
      <c r="X12" s="12">
        <v>1</v>
      </c>
      <c r="Y12" s="12">
        <v>2</v>
      </c>
      <c r="Z12" s="12">
        <v>3</v>
      </c>
      <c r="AA12" s="12">
        <v>4</v>
      </c>
      <c r="AB12" s="12">
        <v>5</v>
      </c>
      <c r="AC12" s="12">
        <v>6</v>
      </c>
      <c r="AD12" s="12">
        <v>7</v>
      </c>
      <c r="AE12" s="12">
        <v>8</v>
      </c>
      <c r="AF12" s="12">
        <v>9</v>
      </c>
      <c r="AG12" s="12">
        <v>10</v>
      </c>
      <c r="AH12" s="12">
        <v>11</v>
      </c>
      <c r="AI12" s="12">
        <v>12</v>
      </c>
      <c r="AJ12" s="12">
        <v>13</v>
      </c>
      <c r="AK12" s="12">
        <v>14</v>
      </c>
      <c r="AL12" s="12">
        <v>15</v>
      </c>
      <c r="AM12" s="12">
        <v>16</v>
      </c>
      <c r="AN12" s="12">
        <v>17</v>
      </c>
      <c r="AO12" s="12">
        <v>18</v>
      </c>
      <c r="AP12" s="12">
        <v>19</v>
      </c>
      <c r="AQ12" s="12">
        <v>20</v>
      </c>
      <c r="AR12" s="12">
        <v>21</v>
      </c>
      <c r="AS12" s="12">
        <v>22</v>
      </c>
      <c r="AT12" s="12">
        <v>23</v>
      </c>
      <c r="AU12" s="12">
        <v>24</v>
      </c>
    </row>
    <row r="13" spans="3:47" ht="15">
      <c r="C13" s="12">
        <v>2000</v>
      </c>
      <c r="D13" s="303">
        <v>211</v>
      </c>
      <c r="E13" s="303">
        <v>86</v>
      </c>
      <c r="F13" s="303"/>
      <c r="G13" s="303">
        <v>34</v>
      </c>
      <c r="H13" s="303">
        <v>38</v>
      </c>
      <c r="I13" s="303">
        <v>90</v>
      </c>
      <c r="J13" s="302">
        <f>SUM(D13:I13)</f>
        <v>459</v>
      </c>
      <c r="L13" s="305">
        <f>D13/$J13</f>
        <v>0.4596949891067538</v>
      </c>
      <c r="M13" s="305">
        <f>E13/$J13</f>
        <v>0.18736383442265794</v>
      </c>
      <c r="N13" s="305">
        <f aca="true" t="shared" si="0" ref="N13:Q23">F13/$J13</f>
        <v>0</v>
      </c>
      <c r="O13" s="305">
        <f t="shared" si="0"/>
        <v>0.07407407407407407</v>
      </c>
      <c r="P13" s="305">
        <f t="shared" si="0"/>
        <v>0.08278867102396514</v>
      </c>
      <c r="Q13" s="305">
        <f t="shared" si="0"/>
        <v>0.19607843137254902</v>
      </c>
      <c r="T13" s="12" t="s">
        <v>74</v>
      </c>
      <c r="U13" s="298">
        <v>2009</v>
      </c>
      <c r="V13" s="298">
        <v>2010</v>
      </c>
      <c r="W13" s="298">
        <v>2011</v>
      </c>
      <c r="X13" s="298">
        <v>2012</v>
      </c>
      <c r="Y13" s="298">
        <v>2013</v>
      </c>
      <c r="Z13" s="308">
        <v>2014</v>
      </c>
      <c r="AA13" s="298">
        <v>2015</v>
      </c>
      <c r="AB13" s="298">
        <v>2016</v>
      </c>
      <c r="AC13" s="298">
        <v>2017</v>
      </c>
      <c r="AD13" s="298">
        <v>2018</v>
      </c>
      <c r="AE13" s="298">
        <v>2019</v>
      </c>
      <c r="AF13" s="298">
        <v>2020</v>
      </c>
      <c r="AG13" s="298">
        <v>2021</v>
      </c>
      <c r="AH13" s="298">
        <v>2022</v>
      </c>
      <c r="AI13" s="298">
        <v>2023</v>
      </c>
      <c r="AJ13" s="298">
        <v>2024</v>
      </c>
      <c r="AK13" s="298">
        <v>2025</v>
      </c>
      <c r="AL13" s="298">
        <v>2026</v>
      </c>
      <c r="AM13" s="298">
        <v>2027</v>
      </c>
      <c r="AN13" s="298">
        <v>2028</v>
      </c>
      <c r="AO13" s="298">
        <v>2029</v>
      </c>
      <c r="AP13" s="298">
        <v>2030</v>
      </c>
      <c r="AQ13" s="298">
        <v>2031</v>
      </c>
      <c r="AR13" s="298">
        <v>2032</v>
      </c>
      <c r="AS13" s="298">
        <v>2033</v>
      </c>
      <c r="AT13" s="298">
        <v>2034</v>
      </c>
      <c r="AU13" s="298">
        <v>2035</v>
      </c>
    </row>
    <row r="14" spans="3:47" ht="15">
      <c r="C14" s="12">
        <v>2001</v>
      </c>
      <c r="D14" s="303">
        <v>226</v>
      </c>
      <c r="E14" s="303">
        <v>84</v>
      </c>
      <c r="F14" s="303"/>
      <c r="G14" s="303">
        <v>37</v>
      </c>
      <c r="H14" s="303">
        <v>38</v>
      </c>
      <c r="I14" s="303">
        <v>87</v>
      </c>
      <c r="J14" s="302">
        <f aca="true" t="shared" si="1" ref="J14:J23">SUM(D14:I14)</f>
        <v>472</v>
      </c>
      <c r="L14" s="305">
        <f aca="true" t="shared" si="2" ref="L14:M23">D14/$J14</f>
        <v>0.4788135593220339</v>
      </c>
      <c r="M14" s="305">
        <f t="shared" si="2"/>
        <v>0.17796610169491525</v>
      </c>
      <c r="N14" s="305">
        <f t="shared" si="0"/>
        <v>0</v>
      </c>
      <c r="O14" s="305">
        <f t="shared" si="0"/>
        <v>0.07838983050847458</v>
      </c>
      <c r="P14" s="305">
        <f t="shared" si="0"/>
        <v>0.08050847457627118</v>
      </c>
      <c r="Q14" s="305">
        <f t="shared" si="0"/>
        <v>0.1843220338983051</v>
      </c>
      <c r="T14" s="301" t="s">
        <v>95</v>
      </c>
      <c r="V14">
        <v>860</v>
      </c>
      <c r="W14" s="4">
        <f>V14*(1+SVicTourHotelGrowth)</f>
        <v>918.48</v>
      </c>
      <c r="X14" s="4">
        <f>W14*(1+SVicTourHotelGrowth)</f>
        <v>980.9366400000001</v>
      </c>
      <c r="Y14" s="4">
        <f>X14*(1+SVicTourHotelGrowth)</f>
        <v>1047.6403315200002</v>
      </c>
      <c r="Z14" s="4">
        <f>Y14*(1+SVicTourHotelGrowth)</f>
        <v>1118.8798740633604</v>
      </c>
      <c r="AA14" s="4">
        <f>Z14*(1+SVicTourHotelGrowth)</f>
        <v>1194.963705499669</v>
      </c>
      <c r="AB14" s="4">
        <f>AA14*(1+SVicTourHotelGrowth)</f>
        <v>1276.2212374736466</v>
      </c>
      <c r="AC14" s="4">
        <f aca="true" t="shared" si="3" ref="AC14:AU14">AB14*(1+TourGrowthLong)</f>
        <v>1340.032299347329</v>
      </c>
      <c r="AD14" s="4">
        <f t="shared" si="3"/>
        <v>1407.0339143146955</v>
      </c>
      <c r="AE14" s="4">
        <f t="shared" si="3"/>
        <v>1477.3856100304304</v>
      </c>
      <c r="AF14" s="4">
        <f t="shared" si="3"/>
        <v>1551.254890531952</v>
      </c>
      <c r="AG14" s="4">
        <f t="shared" si="3"/>
        <v>1628.8176350585497</v>
      </c>
      <c r="AH14" s="4">
        <f t="shared" si="3"/>
        <v>1710.2585168114772</v>
      </c>
      <c r="AI14" s="4">
        <f t="shared" si="3"/>
        <v>1795.771442652051</v>
      </c>
      <c r="AJ14" s="4">
        <f t="shared" si="3"/>
        <v>1885.5600147846537</v>
      </c>
      <c r="AK14" s="4">
        <f t="shared" si="3"/>
        <v>1979.8380155238865</v>
      </c>
      <c r="AL14" s="4">
        <f t="shared" si="3"/>
        <v>2078.829916300081</v>
      </c>
      <c r="AM14" s="4">
        <f t="shared" si="3"/>
        <v>2182.7714121150852</v>
      </c>
      <c r="AN14" s="4">
        <f t="shared" si="3"/>
        <v>2291.9099827208397</v>
      </c>
      <c r="AO14" s="4">
        <f t="shared" si="3"/>
        <v>2406.505481856882</v>
      </c>
      <c r="AP14" s="4">
        <f t="shared" si="3"/>
        <v>2526.830755949726</v>
      </c>
      <c r="AQ14" s="4">
        <f t="shared" si="3"/>
        <v>2653.1722937472127</v>
      </c>
      <c r="AR14" s="4">
        <f t="shared" si="3"/>
        <v>2785.8309084345733</v>
      </c>
      <c r="AS14" s="4">
        <f t="shared" si="3"/>
        <v>2925.122453856302</v>
      </c>
      <c r="AT14" s="4">
        <f t="shared" si="3"/>
        <v>3071.378576549117</v>
      </c>
      <c r="AU14" s="4">
        <f t="shared" si="3"/>
        <v>3224.947505376573</v>
      </c>
    </row>
    <row r="15" spans="3:47" ht="15">
      <c r="C15" s="12">
        <v>2002</v>
      </c>
      <c r="D15" s="303"/>
      <c r="E15" s="303">
        <v>84</v>
      </c>
      <c r="F15" s="303"/>
      <c r="G15" s="303"/>
      <c r="H15" s="303"/>
      <c r="I15" s="303">
        <v>109</v>
      </c>
      <c r="J15" s="302">
        <f t="shared" si="1"/>
        <v>193</v>
      </c>
      <c r="L15" s="305"/>
      <c r="M15" s="305"/>
      <c r="N15" s="305"/>
      <c r="O15" s="305"/>
      <c r="P15" s="305"/>
      <c r="Q15" s="305"/>
      <c r="T15" s="301" t="s">
        <v>96</v>
      </c>
      <c r="W15" s="4">
        <f>W14-V14</f>
        <v>58.48000000000002</v>
      </c>
      <c r="X15" s="4">
        <f aca="true" t="shared" si="4" ref="X15:AU15">X14-W14</f>
        <v>62.45664000000011</v>
      </c>
      <c r="Y15" s="4">
        <f t="shared" si="4"/>
        <v>66.70369152000012</v>
      </c>
      <c r="Z15" s="4">
        <f t="shared" si="4"/>
        <v>71.23954254336013</v>
      </c>
      <c r="AA15" s="4">
        <f t="shared" si="4"/>
        <v>76.08383143630863</v>
      </c>
      <c r="AB15" s="4">
        <f t="shared" si="4"/>
        <v>81.25753197397762</v>
      </c>
      <c r="AC15" s="4">
        <f t="shared" si="4"/>
        <v>63.81106187368232</v>
      </c>
      <c r="AD15" s="4">
        <f t="shared" si="4"/>
        <v>67.00161496736655</v>
      </c>
      <c r="AE15" s="4">
        <f t="shared" si="4"/>
        <v>70.35169571573488</v>
      </c>
      <c r="AF15" s="4">
        <f t="shared" si="4"/>
        <v>73.86928050152164</v>
      </c>
      <c r="AG15" s="4">
        <f t="shared" si="4"/>
        <v>77.56274452659773</v>
      </c>
      <c r="AH15" s="4">
        <f t="shared" si="4"/>
        <v>81.44088175292745</v>
      </c>
      <c r="AI15" s="4">
        <f t="shared" si="4"/>
        <v>85.51292584057387</v>
      </c>
      <c r="AJ15" s="4">
        <f t="shared" si="4"/>
        <v>89.78857213260267</v>
      </c>
      <c r="AK15" s="4">
        <f t="shared" si="4"/>
        <v>94.27800073923277</v>
      </c>
      <c r="AL15" s="4">
        <f t="shared" si="4"/>
        <v>98.9919007761946</v>
      </c>
      <c r="AM15" s="4">
        <f t="shared" si="4"/>
        <v>103.94149581500415</v>
      </c>
      <c r="AN15" s="4">
        <f t="shared" si="4"/>
        <v>109.13857060575447</v>
      </c>
      <c r="AO15" s="4">
        <f t="shared" si="4"/>
        <v>114.59549913604224</v>
      </c>
      <c r="AP15" s="4">
        <f t="shared" si="4"/>
        <v>120.32527409284421</v>
      </c>
      <c r="AQ15" s="4">
        <f t="shared" si="4"/>
        <v>126.34153779748658</v>
      </c>
      <c r="AR15" s="4">
        <f t="shared" si="4"/>
        <v>132.65861468736057</v>
      </c>
      <c r="AS15" s="4">
        <f t="shared" si="4"/>
        <v>139.29154542172864</v>
      </c>
      <c r="AT15" s="4">
        <f t="shared" si="4"/>
        <v>146.2561226928151</v>
      </c>
      <c r="AU15" s="4">
        <f t="shared" si="4"/>
        <v>153.56892882745615</v>
      </c>
    </row>
    <row r="16" spans="3:45" ht="15">
      <c r="C16" s="12">
        <v>2003</v>
      </c>
      <c r="D16" s="303">
        <v>215</v>
      </c>
      <c r="E16" s="303">
        <v>95</v>
      </c>
      <c r="F16" s="303"/>
      <c r="G16" s="303">
        <v>32</v>
      </c>
      <c r="H16" s="303">
        <v>62</v>
      </c>
      <c r="I16" s="303">
        <v>127</v>
      </c>
      <c r="J16" s="302">
        <f>SUM(D16:I16)</f>
        <v>531</v>
      </c>
      <c r="L16" s="305">
        <f t="shared" si="2"/>
        <v>0.4048964218455744</v>
      </c>
      <c r="M16" s="305">
        <f t="shared" si="2"/>
        <v>0.17890772128060264</v>
      </c>
      <c r="N16" s="305">
        <f t="shared" si="0"/>
        <v>0</v>
      </c>
      <c r="O16" s="305">
        <f t="shared" si="0"/>
        <v>0.060263653483992465</v>
      </c>
      <c r="P16" s="305">
        <f t="shared" si="0"/>
        <v>0.1167608286252354</v>
      </c>
      <c r="Q16" s="305">
        <f t="shared" si="0"/>
        <v>0.2391713747645951</v>
      </c>
      <c r="T16" s="301" t="s">
        <v>97</v>
      </c>
      <c r="W16" s="4">
        <f>W15</f>
        <v>58.48000000000002</v>
      </c>
      <c r="X16" s="4">
        <f>X15</f>
        <v>62.45664000000011</v>
      </c>
      <c r="Y16" s="4">
        <f>Y15</f>
        <v>66.70369152000012</v>
      </c>
      <c r="Z16" s="4">
        <f>Z15</f>
        <v>71.23954254336013</v>
      </c>
      <c r="AA16" s="4">
        <f>AA15</f>
        <v>76.08383143630863</v>
      </c>
      <c r="AB16" s="306">
        <f>AB15+AD15*(RegTimeReduced-12)/12</f>
        <v>148.25914694134417</v>
      </c>
      <c r="AC16" s="4">
        <f>IF(RegTimeReduced=12,AC15+AD15,IF(AND((RegTimeReduced-12)/12&lt;1,(RegTimeReduced-12)/12&gt;0),(1-(RegTimeReduced-12)/12)*AD15+(RegTimeReduced-12)/12*AE15,AE15))</f>
        <v>70.35169571573488</v>
      </c>
      <c r="AD16" s="4">
        <f aca="true" t="shared" si="5" ref="AD16:AS16">IF(RegTimeReduced=12,AE15,IF(AND((RegTimeReduced-12)/12&lt;1,(RegTimeReduced-12)/12&gt;0),(1-(RegTimeReduced-12)/12)*AE15+(RegTimeReduced-12)/12*AF15,AF15))</f>
        <v>73.86928050152164</v>
      </c>
      <c r="AE16" s="4">
        <f t="shared" si="5"/>
        <v>77.56274452659773</v>
      </c>
      <c r="AF16" s="4">
        <f t="shared" si="5"/>
        <v>81.44088175292745</v>
      </c>
      <c r="AG16" s="4">
        <f t="shared" si="5"/>
        <v>85.51292584057387</v>
      </c>
      <c r="AH16" s="4">
        <f t="shared" si="5"/>
        <v>89.78857213260267</v>
      </c>
      <c r="AI16" s="4">
        <f t="shared" si="5"/>
        <v>94.27800073923277</v>
      </c>
      <c r="AJ16" s="4">
        <f t="shared" si="5"/>
        <v>98.9919007761946</v>
      </c>
      <c r="AK16" s="4">
        <f t="shared" si="5"/>
        <v>103.94149581500415</v>
      </c>
      <c r="AL16" s="4">
        <f t="shared" si="5"/>
        <v>109.13857060575447</v>
      </c>
      <c r="AM16" s="4">
        <f t="shared" si="5"/>
        <v>114.59549913604224</v>
      </c>
      <c r="AN16" s="4">
        <f t="shared" si="5"/>
        <v>120.32527409284421</v>
      </c>
      <c r="AO16" s="4">
        <f t="shared" si="5"/>
        <v>126.34153779748658</v>
      </c>
      <c r="AP16" s="4">
        <f t="shared" si="5"/>
        <v>132.65861468736057</v>
      </c>
      <c r="AQ16" s="4">
        <f t="shared" si="5"/>
        <v>139.29154542172864</v>
      </c>
      <c r="AR16" s="4">
        <f t="shared" si="5"/>
        <v>146.2561226928151</v>
      </c>
      <c r="AS16" s="4">
        <f t="shared" si="5"/>
        <v>153.56892882745615</v>
      </c>
    </row>
    <row r="17" spans="3:45" ht="15">
      <c r="C17" s="12">
        <v>2004</v>
      </c>
      <c r="D17" s="303">
        <v>360</v>
      </c>
      <c r="E17" s="303">
        <v>78</v>
      </c>
      <c r="F17" s="303"/>
      <c r="G17" s="303"/>
      <c r="H17" s="303"/>
      <c r="I17" s="303">
        <v>170</v>
      </c>
      <c r="J17" s="302">
        <f>SUM(D17:I17)</f>
        <v>608</v>
      </c>
      <c r="L17" s="305">
        <f t="shared" si="2"/>
        <v>0.5921052631578947</v>
      </c>
      <c r="M17" s="305">
        <f t="shared" si="2"/>
        <v>0.12828947368421054</v>
      </c>
      <c r="N17" s="305">
        <f t="shared" si="0"/>
        <v>0</v>
      </c>
      <c r="O17" s="305">
        <f t="shared" si="0"/>
        <v>0</v>
      </c>
      <c r="P17" s="305">
        <f t="shared" si="0"/>
        <v>0</v>
      </c>
      <c r="Q17" s="305">
        <f t="shared" si="0"/>
        <v>0.27960526315789475</v>
      </c>
      <c r="T17" s="301" t="s">
        <v>98</v>
      </c>
      <c r="W17" s="4">
        <f>V14+W16</f>
        <v>918.48</v>
      </c>
      <c r="X17" s="4">
        <f>W17+X16</f>
        <v>980.9366400000001</v>
      </c>
      <c r="Y17" s="4">
        <f aca="true" t="shared" si="6" ref="Y17:AS17">X17+Y16</f>
        <v>1047.6403315200002</v>
      </c>
      <c r="Z17" s="4">
        <f t="shared" si="6"/>
        <v>1118.8798740633604</v>
      </c>
      <c r="AA17" s="4">
        <f t="shared" si="6"/>
        <v>1194.963705499669</v>
      </c>
      <c r="AB17" s="4">
        <f t="shared" si="6"/>
        <v>1343.2228524410132</v>
      </c>
      <c r="AC17" s="4">
        <f t="shared" si="6"/>
        <v>1413.574548156748</v>
      </c>
      <c r="AD17" s="4">
        <f t="shared" si="6"/>
        <v>1487.4438286582697</v>
      </c>
      <c r="AE17" s="4">
        <f t="shared" si="6"/>
        <v>1565.0065731848674</v>
      </c>
      <c r="AF17" s="4">
        <f t="shared" si="6"/>
        <v>1646.4474549377949</v>
      </c>
      <c r="AG17" s="4">
        <f t="shared" si="6"/>
        <v>1731.9603807783687</v>
      </c>
      <c r="AH17" s="4">
        <f t="shared" si="6"/>
        <v>1821.7489529109714</v>
      </c>
      <c r="AI17" s="4">
        <f t="shared" si="6"/>
        <v>1916.0269536502042</v>
      </c>
      <c r="AJ17" s="4">
        <f t="shared" si="6"/>
        <v>2015.0188544263988</v>
      </c>
      <c r="AK17" s="4">
        <f t="shared" si="6"/>
        <v>2118.960350241403</v>
      </c>
      <c r="AL17" s="4">
        <f t="shared" si="6"/>
        <v>2228.0989208471574</v>
      </c>
      <c r="AM17" s="4">
        <f t="shared" si="6"/>
        <v>2342.6944199831996</v>
      </c>
      <c r="AN17" s="4">
        <f t="shared" si="6"/>
        <v>2463.019694076044</v>
      </c>
      <c r="AO17" s="4">
        <f t="shared" si="6"/>
        <v>2589.3612318735304</v>
      </c>
      <c r="AP17" s="4">
        <f t="shared" si="6"/>
        <v>2722.019846560891</v>
      </c>
      <c r="AQ17" s="4">
        <f t="shared" si="6"/>
        <v>2861.3113919826196</v>
      </c>
      <c r="AR17" s="4">
        <f t="shared" si="6"/>
        <v>3007.5675146754347</v>
      </c>
      <c r="AS17" s="4">
        <f t="shared" si="6"/>
        <v>3161.136443502891</v>
      </c>
    </row>
    <row r="18" spans="3:45" ht="15">
      <c r="C18" s="12">
        <v>2005</v>
      </c>
      <c r="D18" s="303">
        <v>298</v>
      </c>
      <c r="E18" s="303">
        <v>74</v>
      </c>
      <c r="F18" s="303">
        <v>0</v>
      </c>
      <c r="G18" s="303">
        <v>31</v>
      </c>
      <c r="H18" s="303">
        <v>0</v>
      </c>
      <c r="I18" s="303">
        <v>252</v>
      </c>
      <c r="J18" s="302">
        <f t="shared" si="1"/>
        <v>655</v>
      </c>
      <c r="L18" s="305">
        <f t="shared" si="2"/>
        <v>0.4549618320610687</v>
      </c>
      <c r="M18" s="305">
        <f t="shared" si="2"/>
        <v>0.11297709923664122</v>
      </c>
      <c r="N18" s="305">
        <f t="shared" si="0"/>
        <v>0</v>
      </c>
      <c r="O18" s="305">
        <f t="shared" si="0"/>
        <v>0.04732824427480916</v>
      </c>
      <c r="P18" s="305">
        <f t="shared" si="0"/>
        <v>0</v>
      </c>
      <c r="Q18" s="305">
        <f t="shared" si="0"/>
        <v>0.3847328244274809</v>
      </c>
      <c r="T18" s="301" t="s">
        <v>99</v>
      </c>
      <c r="X18" s="3">
        <f>(X17-W17)/W17</f>
        <v>0.06800000000000012</v>
      </c>
      <c r="Y18" s="3">
        <f aca="true" t="shared" si="7" ref="Y18:AS18">(Y17-X17)/X17</f>
        <v>0.06800000000000012</v>
      </c>
      <c r="Z18" s="3">
        <f t="shared" si="7"/>
        <v>0.0680000000000001</v>
      </c>
      <c r="AA18" s="3">
        <f t="shared" si="7"/>
        <v>0.06800000000000012</v>
      </c>
      <c r="AB18" s="3">
        <f t="shared" si="7"/>
        <v>0.1240700000000002</v>
      </c>
      <c r="AC18" s="3">
        <f t="shared" si="7"/>
        <v>0.05237529691211409</v>
      </c>
      <c r="AD18" s="3">
        <f t="shared" si="7"/>
        <v>0.05225708159349969</v>
      </c>
      <c r="AE18" s="3">
        <f t="shared" si="7"/>
        <v>0.052144990642478406</v>
      </c>
      <c r="AF18" s="3">
        <f t="shared" si="7"/>
        <v>0.052038683509930024</v>
      </c>
      <c r="AG18" s="3">
        <f t="shared" si="7"/>
        <v>0.051937840824567746</v>
      </c>
      <c r="AH18" s="3">
        <f t="shared" si="7"/>
        <v>0.05184216286301558</v>
      </c>
      <c r="AI18" s="3">
        <f t="shared" si="7"/>
        <v>0.05175136815014276</v>
      </c>
      <c r="AJ18" s="3">
        <f t="shared" si="7"/>
        <v>0.05166519217676249</v>
      </c>
      <c r="AK18" s="3">
        <f t="shared" si="7"/>
        <v>0.05158338622324824</v>
      </c>
      <c r="AL18" s="3">
        <f t="shared" si="7"/>
        <v>0.0515057162788916</v>
      </c>
      <c r="AM18" s="3">
        <f t="shared" si="7"/>
        <v>0.05143196204792885</v>
      </c>
      <c r="AN18" s="3">
        <f t="shared" si="7"/>
        <v>0.051361916034148025</v>
      </c>
      <c r="AO18" s="3">
        <f t="shared" si="7"/>
        <v>0.05129538269684086</v>
      </c>
      <c r="AP18" s="3">
        <f t="shared" si="7"/>
        <v>0.05123217767162426</v>
      </c>
      <c r="AQ18" s="3">
        <f t="shared" si="7"/>
        <v>0.05117212705032815</v>
      </c>
      <c r="AR18" s="3">
        <f t="shared" si="7"/>
        <v>0.05111506671473228</v>
      </c>
      <c r="AS18" s="3">
        <f t="shared" si="7"/>
        <v>0.05106084171946801</v>
      </c>
    </row>
    <row r="19" spans="3:29" ht="15">
      <c r="C19" s="12">
        <v>2006</v>
      </c>
      <c r="D19" s="303">
        <v>384</v>
      </c>
      <c r="E19" s="303">
        <v>149</v>
      </c>
      <c r="F19" s="303"/>
      <c r="G19" s="303">
        <v>31</v>
      </c>
      <c r="H19" s="303"/>
      <c r="I19" s="303">
        <v>147</v>
      </c>
      <c r="J19" s="302">
        <f t="shared" si="1"/>
        <v>711</v>
      </c>
      <c r="L19" s="305">
        <f t="shared" si="2"/>
        <v>0.540084388185654</v>
      </c>
      <c r="M19" s="305">
        <f t="shared" si="2"/>
        <v>0.20956399437412096</v>
      </c>
      <c r="N19" s="305">
        <f t="shared" si="0"/>
        <v>0</v>
      </c>
      <c r="O19" s="305">
        <f t="shared" si="0"/>
        <v>0.04360056258790436</v>
      </c>
      <c r="P19" s="305">
        <f t="shared" si="0"/>
        <v>0</v>
      </c>
      <c r="Q19" s="305">
        <f t="shared" si="0"/>
        <v>0.20675105485232068</v>
      </c>
      <c r="T19" s="12"/>
      <c r="Z19" s="307" t="s">
        <v>402</v>
      </c>
      <c r="AA19" s="304"/>
      <c r="AB19" s="304"/>
      <c r="AC19" s="304"/>
    </row>
    <row r="20" spans="3:26" ht="15">
      <c r="C20" s="12">
        <v>2007</v>
      </c>
      <c r="D20" s="303">
        <v>409</v>
      </c>
      <c r="E20" s="303">
        <v>148</v>
      </c>
      <c r="F20" s="303"/>
      <c r="G20" s="303"/>
      <c r="H20" s="303"/>
      <c r="I20" s="303">
        <v>204</v>
      </c>
      <c r="J20" s="302">
        <f t="shared" si="1"/>
        <v>761</v>
      </c>
      <c r="L20" s="305">
        <f t="shared" si="2"/>
        <v>0.5374507227332457</v>
      </c>
      <c r="M20" s="305">
        <f t="shared" si="2"/>
        <v>0.19448094612352168</v>
      </c>
      <c r="N20" s="305">
        <f t="shared" si="0"/>
        <v>0</v>
      </c>
      <c r="O20" s="305">
        <f t="shared" si="0"/>
        <v>0</v>
      </c>
      <c r="P20" s="305">
        <f t="shared" si="0"/>
        <v>0</v>
      </c>
      <c r="Q20" s="305">
        <f t="shared" si="0"/>
        <v>0.2680683311432326</v>
      </c>
      <c r="T20" s="12"/>
      <c r="Z20" t="s">
        <v>105</v>
      </c>
    </row>
    <row r="21" spans="3:47" ht="15">
      <c r="C21" s="12">
        <v>2008</v>
      </c>
      <c r="D21" s="303">
        <v>233</v>
      </c>
      <c r="E21" s="303">
        <v>147</v>
      </c>
      <c r="F21" s="303">
        <v>19</v>
      </c>
      <c r="G21" s="303">
        <v>31</v>
      </c>
      <c r="H21" s="303">
        <v>146</v>
      </c>
      <c r="I21" s="303">
        <v>213</v>
      </c>
      <c r="J21" s="302">
        <f t="shared" si="1"/>
        <v>789</v>
      </c>
      <c r="L21" s="305">
        <f t="shared" si="2"/>
        <v>0.2953105196451204</v>
      </c>
      <c r="M21" s="305">
        <f t="shared" si="2"/>
        <v>0.18631178707224336</v>
      </c>
      <c r="N21" s="305">
        <f t="shared" si="0"/>
        <v>0.024081115335868188</v>
      </c>
      <c r="O21" s="305">
        <f t="shared" si="0"/>
        <v>0.03929024081115336</v>
      </c>
      <c r="P21" s="305">
        <f t="shared" si="0"/>
        <v>0.1850443599493029</v>
      </c>
      <c r="Q21" s="305">
        <f t="shared" si="0"/>
        <v>0.26996197718631176</v>
      </c>
      <c r="T21" s="12" t="s">
        <v>74</v>
      </c>
      <c r="U21" s="298">
        <v>2009</v>
      </c>
      <c r="V21" s="298">
        <v>2010</v>
      </c>
      <c r="W21" s="298">
        <v>2011</v>
      </c>
      <c r="X21" s="298">
        <v>2012</v>
      </c>
      <c r="Y21" s="298">
        <v>2013</v>
      </c>
      <c r="Z21" s="308">
        <v>2014</v>
      </c>
      <c r="AA21" s="298">
        <v>2015</v>
      </c>
      <c r="AB21" s="298">
        <v>2016</v>
      </c>
      <c r="AC21" s="298">
        <v>2017</v>
      </c>
      <c r="AD21" s="298">
        <v>2018</v>
      </c>
      <c r="AE21" s="298">
        <v>2019</v>
      </c>
      <c r="AF21" s="298">
        <v>2020</v>
      </c>
      <c r="AG21" s="298">
        <v>2021</v>
      </c>
      <c r="AH21" s="298">
        <v>2022</v>
      </c>
      <c r="AI21" s="298">
        <v>2023</v>
      </c>
      <c r="AJ21" s="298">
        <v>2024</v>
      </c>
      <c r="AK21" s="298">
        <v>2025</v>
      </c>
      <c r="AL21" s="298">
        <v>2026</v>
      </c>
      <c r="AM21" s="298">
        <v>2027</v>
      </c>
      <c r="AN21" s="298">
        <v>2028</v>
      </c>
      <c r="AO21" s="298">
        <v>2029</v>
      </c>
      <c r="AP21" s="298">
        <v>2030</v>
      </c>
      <c r="AQ21" s="298">
        <v>2031</v>
      </c>
      <c r="AR21" s="298">
        <v>2032</v>
      </c>
      <c r="AS21" s="298">
        <v>2033</v>
      </c>
      <c r="AT21" s="298">
        <v>2034</v>
      </c>
      <c r="AU21" s="298">
        <v>2035</v>
      </c>
    </row>
    <row r="22" spans="3:47" ht="15">
      <c r="C22" s="12">
        <v>2009</v>
      </c>
      <c r="D22" s="303">
        <v>233</v>
      </c>
      <c r="E22" s="303">
        <v>147</v>
      </c>
      <c r="F22" s="303">
        <v>19</v>
      </c>
      <c r="G22" s="303">
        <v>50</v>
      </c>
      <c r="H22" s="303">
        <v>146</v>
      </c>
      <c r="I22" s="303">
        <v>270</v>
      </c>
      <c r="J22" s="302">
        <f t="shared" si="1"/>
        <v>865</v>
      </c>
      <c r="L22" s="305">
        <f t="shared" si="2"/>
        <v>0.26936416184971096</v>
      </c>
      <c r="M22" s="305">
        <f t="shared" si="2"/>
        <v>0.1699421965317919</v>
      </c>
      <c r="N22" s="305">
        <f t="shared" si="0"/>
        <v>0.021965317919075144</v>
      </c>
      <c r="O22" s="305">
        <f t="shared" si="0"/>
        <v>0.057803468208092484</v>
      </c>
      <c r="P22" s="305">
        <f t="shared" si="0"/>
        <v>0.16878612716763006</v>
      </c>
      <c r="Q22" s="305">
        <f t="shared" si="0"/>
        <v>0.31213872832369943</v>
      </c>
      <c r="T22" s="301" t="s">
        <v>95</v>
      </c>
      <c r="V22" s="4">
        <f>V14</f>
        <v>860</v>
      </c>
      <c r="W22" s="4">
        <f aca="true" t="shared" si="8" ref="W22:AU22">W14</f>
        <v>918.48</v>
      </c>
      <c r="X22" s="4">
        <f t="shared" si="8"/>
        <v>980.9366400000001</v>
      </c>
      <c r="Y22" s="4">
        <f t="shared" si="8"/>
        <v>1047.6403315200002</v>
      </c>
      <c r="Z22" s="4">
        <f t="shared" si="8"/>
        <v>1118.8798740633604</v>
      </c>
      <c r="AA22" s="4">
        <f t="shared" si="8"/>
        <v>1194.963705499669</v>
      </c>
      <c r="AB22" s="4">
        <f t="shared" si="8"/>
        <v>1276.2212374736466</v>
      </c>
      <c r="AC22" s="4">
        <f t="shared" si="8"/>
        <v>1340.032299347329</v>
      </c>
      <c r="AD22" s="4">
        <f t="shared" si="8"/>
        <v>1407.0339143146955</v>
      </c>
      <c r="AE22" s="4">
        <f t="shared" si="8"/>
        <v>1477.3856100304304</v>
      </c>
      <c r="AF22" s="4">
        <f t="shared" si="8"/>
        <v>1551.254890531952</v>
      </c>
      <c r="AG22" s="4">
        <f t="shared" si="8"/>
        <v>1628.8176350585497</v>
      </c>
      <c r="AH22" s="4">
        <f t="shared" si="8"/>
        <v>1710.2585168114772</v>
      </c>
      <c r="AI22" s="4">
        <f t="shared" si="8"/>
        <v>1795.771442652051</v>
      </c>
      <c r="AJ22" s="4">
        <f t="shared" si="8"/>
        <v>1885.5600147846537</v>
      </c>
      <c r="AK22" s="4">
        <f t="shared" si="8"/>
        <v>1979.8380155238865</v>
      </c>
      <c r="AL22" s="4">
        <f t="shared" si="8"/>
        <v>2078.829916300081</v>
      </c>
      <c r="AM22" s="4">
        <f t="shared" si="8"/>
        <v>2182.7714121150852</v>
      </c>
      <c r="AN22" s="4">
        <f t="shared" si="8"/>
        <v>2291.9099827208397</v>
      </c>
      <c r="AO22" s="4">
        <f t="shared" si="8"/>
        <v>2406.505481856882</v>
      </c>
      <c r="AP22" s="4">
        <f t="shared" si="8"/>
        <v>2526.830755949726</v>
      </c>
      <c r="AQ22" s="4">
        <f t="shared" si="8"/>
        <v>2653.1722937472127</v>
      </c>
      <c r="AR22" s="4">
        <f t="shared" si="8"/>
        <v>2785.8309084345733</v>
      </c>
      <c r="AS22" s="4">
        <f t="shared" si="8"/>
        <v>2925.122453856302</v>
      </c>
      <c r="AT22" s="4">
        <f t="shared" si="8"/>
        <v>3071.378576549117</v>
      </c>
      <c r="AU22" s="4">
        <f t="shared" si="8"/>
        <v>3224.947505376573</v>
      </c>
    </row>
    <row r="23" spans="3:47" ht="15">
      <c r="C23" s="12">
        <v>2010</v>
      </c>
      <c r="D23" s="303">
        <v>374</v>
      </c>
      <c r="E23" s="303">
        <v>132</v>
      </c>
      <c r="F23" s="303">
        <v>19</v>
      </c>
      <c r="G23" s="303">
        <v>50</v>
      </c>
      <c r="H23" s="303">
        <v>0</v>
      </c>
      <c r="I23" s="303">
        <v>286</v>
      </c>
      <c r="J23" s="302">
        <f t="shared" si="1"/>
        <v>861</v>
      </c>
      <c r="L23" s="305">
        <f t="shared" si="2"/>
        <v>0.4343786295005807</v>
      </c>
      <c r="M23" s="305">
        <f t="shared" si="2"/>
        <v>0.15331010452961671</v>
      </c>
      <c r="N23" s="305">
        <f t="shared" si="0"/>
        <v>0.022067363530778164</v>
      </c>
      <c r="O23" s="305">
        <f t="shared" si="0"/>
        <v>0.05807200929152149</v>
      </c>
      <c r="P23" s="305">
        <f t="shared" si="0"/>
        <v>0</v>
      </c>
      <c r="Q23" s="305">
        <f t="shared" si="0"/>
        <v>0.3321718931475029</v>
      </c>
      <c r="T23" s="301" t="s">
        <v>96</v>
      </c>
      <c r="W23" s="4">
        <f>W22-V22</f>
        <v>58.48000000000002</v>
      </c>
      <c r="X23" s="4">
        <f aca="true" t="shared" si="9" ref="X23:AU23">X22-W22</f>
        <v>62.45664000000011</v>
      </c>
      <c r="Y23" s="4">
        <f t="shared" si="9"/>
        <v>66.70369152000012</v>
      </c>
      <c r="Z23" s="4">
        <f t="shared" si="9"/>
        <v>71.23954254336013</v>
      </c>
      <c r="AA23" s="4">
        <f t="shared" si="9"/>
        <v>76.08383143630863</v>
      </c>
      <c r="AB23" s="4">
        <f t="shared" si="9"/>
        <v>81.25753197397762</v>
      </c>
      <c r="AC23" s="4">
        <f t="shared" si="9"/>
        <v>63.81106187368232</v>
      </c>
      <c r="AD23" s="4">
        <f t="shared" si="9"/>
        <v>67.00161496736655</v>
      </c>
      <c r="AE23" s="4">
        <f t="shared" si="9"/>
        <v>70.35169571573488</v>
      </c>
      <c r="AF23" s="4">
        <f t="shared" si="9"/>
        <v>73.86928050152164</v>
      </c>
      <c r="AG23" s="4">
        <f t="shared" si="9"/>
        <v>77.56274452659773</v>
      </c>
      <c r="AH23" s="4">
        <f t="shared" si="9"/>
        <v>81.44088175292745</v>
      </c>
      <c r="AI23" s="4">
        <f t="shared" si="9"/>
        <v>85.51292584057387</v>
      </c>
      <c r="AJ23" s="4">
        <f t="shared" si="9"/>
        <v>89.78857213260267</v>
      </c>
      <c r="AK23" s="4">
        <f t="shared" si="9"/>
        <v>94.27800073923277</v>
      </c>
      <c r="AL23" s="4">
        <f t="shared" si="9"/>
        <v>98.9919007761946</v>
      </c>
      <c r="AM23" s="4">
        <f t="shared" si="9"/>
        <v>103.94149581500415</v>
      </c>
      <c r="AN23" s="4">
        <f t="shared" si="9"/>
        <v>109.13857060575447</v>
      </c>
      <c r="AO23" s="4">
        <f t="shared" si="9"/>
        <v>114.59549913604224</v>
      </c>
      <c r="AP23" s="4">
        <f t="shared" si="9"/>
        <v>120.32527409284421</v>
      </c>
      <c r="AQ23" s="4">
        <f t="shared" si="9"/>
        <v>126.34153779748658</v>
      </c>
      <c r="AR23" s="4">
        <f t="shared" si="9"/>
        <v>132.65861468736057</v>
      </c>
      <c r="AS23" s="4">
        <f t="shared" si="9"/>
        <v>139.29154542172864</v>
      </c>
      <c r="AT23" s="4">
        <f t="shared" si="9"/>
        <v>146.2561226928151</v>
      </c>
      <c r="AU23" s="4">
        <f t="shared" si="9"/>
        <v>153.56892882745615</v>
      </c>
    </row>
    <row r="24" spans="3:47" ht="15">
      <c r="C24" s="12"/>
      <c r="T24" s="301" t="s">
        <v>97</v>
      </c>
      <c r="W24" s="4">
        <f>W23</f>
        <v>58.48000000000002</v>
      </c>
      <c r="X24" s="4">
        <f>X23</f>
        <v>62.45664000000011</v>
      </c>
      <c r="Y24" s="4">
        <f>Y23</f>
        <v>66.70369152000012</v>
      </c>
      <c r="Z24" s="4">
        <f>Z23</f>
        <v>71.23954254336013</v>
      </c>
      <c r="AA24" s="4">
        <f>AA23</f>
        <v>76.08383143630863</v>
      </c>
      <c r="AB24" s="4">
        <f>AB23</f>
        <v>81.25753197397762</v>
      </c>
      <c r="AC24" s="4">
        <f>AC23+AD23</f>
        <v>130.81267684104887</v>
      </c>
      <c r="AD24" s="4">
        <f>AE23</f>
        <v>70.35169571573488</v>
      </c>
      <c r="AE24" s="4">
        <f aca="true" t="shared" si="10" ref="AE24:AS24">AF23</f>
        <v>73.86928050152164</v>
      </c>
      <c r="AF24" s="4">
        <f t="shared" si="10"/>
        <v>77.56274452659773</v>
      </c>
      <c r="AG24" s="4">
        <f t="shared" si="10"/>
        <v>81.44088175292745</v>
      </c>
      <c r="AH24" s="4">
        <f t="shared" si="10"/>
        <v>85.51292584057387</v>
      </c>
      <c r="AI24" s="4">
        <f t="shared" si="10"/>
        <v>89.78857213260267</v>
      </c>
      <c r="AJ24" s="4">
        <f t="shared" si="10"/>
        <v>94.27800073923277</v>
      </c>
      <c r="AK24" s="4">
        <f t="shared" si="10"/>
        <v>98.9919007761946</v>
      </c>
      <c r="AL24" s="4">
        <f t="shared" si="10"/>
        <v>103.94149581500415</v>
      </c>
      <c r="AM24" s="4">
        <f t="shared" si="10"/>
        <v>109.13857060575447</v>
      </c>
      <c r="AN24" s="4">
        <f t="shared" si="10"/>
        <v>114.59549913604224</v>
      </c>
      <c r="AO24" s="4">
        <f t="shared" si="10"/>
        <v>120.32527409284421</v>
      </c>
      <c r="AP24" s="4">
        <f t="shared" si="10"/>
        <v>126.34153779748658</v>
      </c>
      <c r="AQ24" s="4">
        <f t="shared" si="10"/>
        <v>132.65861468736057</v>
      </c>
      <c r="AR24" s="4">
        <f t="shared" si="10"/>
        <v>139.29154542172864</v>
      </c>
      <c r="AS24" s="4">
        <f t="shared" si="10"/>
        <v>146.2561226928151</v>
      </c>
      <c r="AT24" s="4"/>
      <c r="AU24" s="4"/>
    </row>
    <row r="25" spans="3:45" ht="15">
      <c r="C25" s="12" t="s">
        <v>14</v>
      </c>
      <c r="D25">
        <f>MIN(D13:D23)</f>
        <v>211</v>
      </c>
      <c r="E25">
        <f>MIN(E13:E23)</f>
        <v>74</v>
      </c>
      <c r="F25">
        <f>MIN(F13:F23)</f>
        <v>0</v>
      </c>
      <c r="G25">
        <f>MIN(G13:G23)</f>
        <v>31</v>
      </c>
      <c r="H25">
        <f>MIN(H13:H23)</f>
        <v>0</v>
      </c>
      <c r="I25">
        <f>MIN(I13:I23)</f>
        <v>87</v>
      </c>
      <c r="L25" t="s">
        <v>16</v>
      </c>
      <c r="T25" s="301" t="s">
        <v>98</v>
      </c>
      <c r="W25" s="4">
        <f>V22+W24</f>
        <v>918.48</v>
      </c>
      <c r="X25" s="4">
        <f>W25+X24</f>
        <v>980.9366400000001</v>
      </c>
      <c r="Y25" s="4">
        <f>X25+Y24</f>
        <v>1047.6403315200002</v>
      </c>
      <c r="Z25" s="4">
        <f>Y25+Z24</f>
        <v>1118.8798740633604</v>
      </c>
      <c r="AA25" s="4">
        <f aca="true" t="shared" si="11" ref="AA25:AS25">Z25+AA24</f>
        <v>1194.963705499669</v>
      </c>
      <c r="AB25" s="4">
        <f t="shared" si="11"/>
        <v>1276.2212374736466</v>
      </c>
      <c r="AC25" s="4">
        <f t="shared" si="11"/>
        <v>1407.0339143146955</v>
      </c>
      <c r="AD25" s="4">
        <f t="shared" si="11"/>
        <v>1477.3856100304304</v>
      </c>
      <c r="AE25" s="4">
        <f t="shared" si="11"/>
        <v>1551.254890531952</v>
      </c>
      <c r="AF25" s="4">
        <f t="shared" si="11"/>
        <v>1628.8176350585497</v>
      </c>
      <c r="AG25" s="4">
        <f t="shared" si="11"/>
        <v>1710.2585168114772</v>
      </c>
      <c r="AH25" s="4">
        <f t="shared" si="11"/>
        <v>1795.771442652051</v>
      </c>
      <c r="AI25" s="4">
        <f t="shared" si="11"/>
        <v>1885.5600147846537</v>
      </c>
      <c r="AJ25" s="4">
        <f t="shared" si="11"/>
        <v>1979.8380155238865</v>
      </c>
      <c r="AK25" s="4">
        <f t="shared" si="11"/>
        <v>2078.829916300081</v>
      </c>
      <c r="AL25" s="4">
        <f t="shared" si="11"/>
        <v>2182.7714121150852</v>
      </c>
      <c r="AM25" s="4">
        <f t="shared" si="11"/>
        <v>2291.9099827208397</v>
      </c>
      <c r="AN25" s="4">
        <f t="shared" si="11"/>
        <v>2406.505481856882</v>
      </c>
      <c r="AO25" s="4">
        <f t="shared" si="11"/>
        <v>2526.830755949726</v>
      </c>
      <c r="AP25" s="4">
        <f t="shared" si="11"/>
        <v>2653.1722937472127</v>
      </c>
      <c r="AQ25" s="4">
        <f t="shared" si="11"/>
        <v>2785.8309084345733</v>
      </c>
      <c r="AR25" s="4">
        <f t="shared" si="11"/>
        <v>2925.122453856302</v>
      </c>
      <c r="AS25" s="4">
        <f t="shared" si="11"/>
        <v>3071.378576549117</v>
      </c>
    </row>
    <row r="26" spans="3:45" ht="15">
      <c r="C26" s="12" t="s">
        <v>15</v>
      </c>
      <c r="D26">
        <f>MAX(D13:D23)</f>
        <v>409</v>
      </c>
      <c r="E26">
        <f>MAX(E13:E23)</f>
        <v>149</v>
      </c>
      <c r="F26">
        <f>MAX(F13:F23)</f>
        <v>19</v>
      </c>
      <c r="G26">
        <f>MAX(G13:G23)</f>
        <v>50</v>
      </c>
      <c r="H26">
        <f>MAX(H13:H23)</f>
        <v>146</v>
      </c>
      <c r="I26">
        <f>MAX(I13:I23)</f>
        <v>286</v>
      </c>
      <c r="L26" s="2">
        <v>0.9</v>
      </c>
      <c r="M26" s="2">
        <v>0.02</v>
      </c>
      <c r="N26" s="2">
        <v>0.02</v>
      </c>
      <c r="O26" s="2">
        <v>0.04</v>
      </c>
      <c r="P26" s="2">
        <v>0</v>
      </c>
      <c r="Q26" s="2">
        <v>0.02</v>
      </c>
      <c r="T26" s="301" t="s">
        <v>99</v>
      </c>
      <c r="X26" s="3">
        <f>(X25-W25)/W25</f>
        <v>0.06800000000000012</v>
      </c>
      <c r="Y26" s="3">
        <f aca="true" t="shared" si="12" ref="Y26:AS26">(Y25-X25)/X25</f>
        <v>0.06800000000000012</v>
      </c>
      <c r="Z26" s="3">
        <f t="shared" si="12"/>
        <v>0.0680000000000001</v>
      </c>
      <c r="AA26" s="3">
        <f t="shared" si="12"/>
        <v>0.06800000000000012</v>
      </c>
      <c r="AB26" s="3">
        <f t="shared" si="12"/>
        <v>0.0680000000000001</v>
      </c>
      <c r="AC26" s="3">
        <f t="shared" si="12"/>
        <v>0.10250000000000008</v>
      </c>
      <c r="AD26" s="3">
        <f t="shared" si="12"/>
        <v>0.05000000000000007</v>
      </c>
      <c r="AE26" s="3">
        <f t="shared" si="12"/>
        <v>0.050000000000000086</v>
      </c>
      <c r="AF26" s="3">
        <f t="shared" si="12"/>
        <v>0.05000000000000008</v>
      </c>
      <c r="AG26" s="3">
        <f t="shared" si="12"/>
        <v>0.04999999999999998</v>
      </c>
      <c r="AH26" s="3">
        <f t="shared" si="12"/>
        <v>0.05000000000000001</v>
      </c>
      <c r="AI26" s="3">
        <f t="shared" si="12"/>
        <v>0.050000000000000065</v>
      </c>
      <c r="AJ26" s="3">
        <f t="shared" si="12"/>
        <v>0.050000000000000044</v>
      </c>
      <c r="AK26" s="3">
        <f t="shared" si="12"/>
        <v>0.050000000000000135</v>
      </c>
      <c r="AL26" s="3">
        <f t="shared" si="12"/>
        <v>0.050000000000000044</v>
      </c>
      <c r="AM26" s="3">
        <f t="shared" si="12"/>
        <v>0.05000000000000009</v>
      </c>
      <c r="AN26" s="3">
        <f t="shared" si="12"/>
        <v>0.05000000000000011</v>
      </c>
      <c r="AO26" s="3">
        <f t="shared" si="12"/>
        <v>0.050000000000000044</v>
      </c>
      <c r="AP26" s="3">
        <f t="shared" si="12"/>
        <v>0.05000000000000011</v>
      </c>
      <c r="AQ26" s="3">
        <f t="shared" si="12"/>
        <v>0.049999999999999975</v>
      </c>
      <c r="AR26" s="3">
        <f t="shared" si="12"/>
        <v>0.04999999999999999</v>
      </c>
      <c r="AS26" s="3">
        <f t="shared" si="12"/>
        <v>0.05</v>
      </c>
    </row>
    <row r="27" ht="15">
      <c r="C27" s="12"/>
    </row>
    <row r="28" spans="3:4" ht="15">
      <c r="C28" s="12" t="s">
        <v>17</v>
      </c>
      <c r="D28" s="3">
        <f>(D26/D25)^(1/10)-1</f>
        <v>0.06842510769822452</v>
      </c>
    </row>
    <row r="29" spans="4:5" ht="15">
      <c r="D29" s="3"/>
      <c r="E29" s="3"/>
    </row>
    <row r="30" spans="4:5" ht="15">
      <c r="D30" s="3"/>
      <c r="E30" s="3"/>
    </row>
    <row r="31" spans="4:8" ht="15">
      <c r="D31" s="1"/>
      <c r="E31" s="1"/>
      <c r="F31" s="1"/>
      <c r="G31" s="1"/>
      <c r="H31" s="1"/>
    </row>
    <row r="35" ht="15">
      <c r="H35" s="3"/>
    </row>
    <row r="36" ht="15">
      <c r="H36" s="3"/>
    </row>
    <row r="37" ht="15">
      <c r="H37" s="3"/>
    </row>
    <row r="38" ht="15">
      <c r="H38" s="3"/>
    </row>
    <row r="39" ht="15">
      <c r="H39" s="3"/>
    </row>
    <row r="40" ht="15">
      <c r="H40" s="3"/>
    </row>
    <row r="41" ht="15">
      <c r="H41" s="3"/>
    </row>
    <row r="42" ht="15">
      <c r="H42" s="3"/>
    </row>
    <row r="43" ht="15">
      <c r="H43" s="3"/>
    </row>
    <row r="44" ht="15">
      <c r="H44" s="3"/>
    </row>
    <row r="45" ht="15">
      <c r="H45" s="3"/>
    </row>
    <row r="46" ht="15">
      <c r="H46" s="3"/>
    </row>
    <row r="47" ht="15">
      <c r="H47" s="3"/>
    </row>
    <row r="48" ht="15">
      <c r="H48" s="3"/>
    </row>
    <row r="49" ht="15">
      <c r="H49" s="3"/>
    </row>
    <row r="50" ht="15">
      <c r="H50" s="3"/>
    </row>
    <row r="51" ht="15">
      <c r="H51" s="3"/>
    </row>
    <row r="52" ht="15">
      <c r="H52" s="3"/>
    </row>
    <row r="53" ht="15">
      <c r="H53" s="3"/>
    </row>
    <row r="54" ht="15">
      <c r="H54" s="3"/>
    </row>
    <row r="55" spans="4:5" ht="15">
      <c r="D55" s="4"/>
      <c r="E55" s="4"/>
    </row>
    <row r="56" spans="4:5" ht="15">
      <c r="D56" s="4"/>
      <c r="E56"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80" ht="15">
      <c r="D80" s="3"/>
    </row>
  </sheetData>
  <sheetProtection/>
  <mergeCells count="1">
    <mergeCell ref="B1:J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2"/>
  <ignoredErrors>
    <ignoredError sqref="J13:J16 J18:J23" formulaRange="1"/>
  </ignoredErrors>
  <drawing r:id="rId1"/>
</worksheet>
</file>

<file path=xl/worksheets/sheet9.xml><?xml version="1.0" encoding="utf-8"?>
<worksheet xmlns="http://schemas.openxmlformats.org/spreadsheetml/2006/main" xmlns:r="http://schemas.openxmlformats.org/officeDocument/2006/relationships">
  <sheetPr codeName="Sheet9"/>
  <dimension ref="A1:AE80"/>
  <sheetViews>
    <sheetView zoomScalePageLayoutView="0" workbookViewId="0" topLeftCell="A1">
      <selection activeCell="A1" sqref="A1"/>
    </sheetView>
  </sheetViews>
  <sheetFormatPr defaultColWidth="9.140625" defaultRowHeight="15"/>
  <cols>
    <col min="1" max="1" width="7.7109375" style="0" customWidth="1"/>
    <col min="2" max="2" width="45.57421875" style="0" bestFit="1" customWidth="1"/>
    <col min="5" max="5" width="10.00390625" style="0" bestFit="1" customWidth="1"/>
  </cols>
  <sheetData>
    <row r="1" spans="2:13" s="127" customFormat="1" ht="12.75" customHeight="1">
      <c r="B1" s="382">
        <f>IF('ERR &amp; Sensitivity Analysis'!K10="N","Note: Current calculations are based on user input and are not the original MCC estimates.",IF('ERR &amp; Sensitivity Analysis'!K15="N","Note: Current calculations are based on user input and are not the original MCC estimates.",0))</f>
        <v>0</v>
      </c>
      <c r="C1" s="382"/>
      <c r="D1" s="382"/>
      <c r="E1" s="382"/>
      <c r="F1" s="382"/>
      <c r="G1" s="382"/>
      <c r="H1" s="382"/>
      <c r="I1" s="382"/>
      <c r="J1" s="382"/>
      <c r="K1" s="296"/>
      <c r="L1" s="296"/>
      <c r="M1" s="242" t="str">
        <f>'User''s Guide'!C1</f>
        <v>Last  Updated : 'September 2011</v>
      </c>
    </row>
    <row r="2" spans="1:7" s="133" customFormat="1" ht="20.25">
      <c r="A2" s="130"/>
      <c r="B2" s="131" t="s">
        <v>432</v>
      </c>
      <c r="C2" s="130"/>
      <c r="D2" s="130"/>
      <c r="E2" s="130"/>
      <c r="F2" s="130"/>
      <c r="G2" s="132"/>
    </row>
    <row r="3" spans="1:7" s="133" customFormat="1" ht="20.25" customHeight="1">
      <c r="A3" s="130"/>
      <c r="B3" s="134"/>
      <c r="C3" s="130"/>
      <c r="D3" s="130"/>
      <c r="E3" s="130"/>
      <c r="F3" s="130"/>
      <c r="G3" s="130"/>
    </row>
    <row r="4" spans="2:15" ht="15">
      <c r="B4" s="12" t="s">
        <v>19</v>
      </c>
      <c r="F4" s="4"/>
      <c r="G4" s="4"/>
      <c r="H4" s="4"/>
      <c r="I4" s="4"/>
      <c r="J4" s="4"/>
      <c r="K4" s="4"/>
      <c r="L4" s="4"/>
      <c r="M4" s="4"/>
      <c r="N4" s="4"/>
      <c r="O4" s="4"/>
    </row>
    <row r="5" ht="15">
      <c r="B5" s="12" t="s">
        <v>20</v>
      </c>
    </row>
    <row r="6" ht="15">
      <c r="B6" s="12" t="s">
        <v>23</v>
      </c>
    </row>
    <row r="7" ht="15">
      <c r="E7" t="s">
        <v>83</v>
      </c>
    </row>
    <row r="8" spans="2:6" ht="15">
      <c r="B8" t="s">
        <v>69</v>
      </c>
      <c r="E8" s="5">
        <f>Average_area_per_bed_ha</f>
        <v>0.045</v>
      </c>
      <c r="F8" s="270" t="s">
        <v>377</v>
      </c>
    </row>
    <row r="9" spans="2:10" ht="15">
      <c r="B9" t="s">
        <v>80</v>
      </c>
      <c r="E9" s="2">
        <f>E14/E16</f>
        <v>0.1646355140186916</v>
      </c>
      <c r="I9" s="4">
        <f>E10*E9</f>
        <v>584.4560747663552</v>
      </c>
      <c r="J9" t="s">
        <v>92</v>
      </c>
    </row>
    <row r="10" spans="2:10" ht="15">
      <c r="B10" t="s">
        <v>81</v>
      </c>
      <c r="E10" s="4">
        <v>3550</v>
      </c>
      <c r="F10" s="268" t="s">
        <v>82</v>
      </c>
      <c r="I10" s="4">
        <v>20000</v>
      </c>
      <c r="J10" t="s">
        <v>93</v>
      </c>
    </row>
    <row r="11" ht="15">
      <c r="E11" s="4"/>
    </row>
    <row r="12" spans="2:26" ht="15">
      <c r="B12" s="12" t="s">
        <v>29</v>
      </c>
      <c r="E12" s="297" t="s">
        <v>28</v>
      </c>
      <c r="F12" s="12">
        <v>0</v>
      </c>
      <c r="G12" s="12">
        <v>1</v>
      </c>
      <c r="H12" s="12">
        <v>2</v>
      </c>
      <c r="I12" s="12">
        <v>3</v>
      </c>
      <c r="J12" s="12">
        <v>4</v>
      </c>
      <c r="K12" s="12">
        <v>5</v>
      </c>
      <c r="L12" s="12">
        <v>6</v>
      </c>
      <c r="M12" s="12">
        <v>7</v>
      </c>
      <c r="N12" s="12">
        <v>8</v>
      </c>
      <c r="O12" s="12">
        <v>9</v>
      </c>
      <c r="P12" s="12">
        <v>10</v>
      </c>
      <c r="Q12" s="12">
        <v>11</v>
      </c>
      <c r="R12" s="12">
        <v>12</v>
      </c>
      <c r="S12" s="12">
        <v>13</v>
      </c>
      <c r="T12" s="12">
        <v>14</v>
      </c>
      <c r="U12" s="12">
        <v>15</v>
      </c>
      <c r="V12" s="12">
        <v>16</v>
      </c>
      <c r="W12" s="12">
        <v>17</v>
      </c>
      <c r="X12" s="12">
        <v>18</v>
      </c>
      <c r="Y12" s="12">
        <v>19</v>
      </c>
      <c r="Z12" s="12">
        <v>20</v>
      </c>
    </row>
    <row r="13" spans="5:26" ht="15">
      <c r="E13" s="298">
        <v>2010</v>
      </c>
      <c r="F13" s="298">
        <v>2011</v>
      </c>
      <c r="G13" s="298">
        <v>2012</v>
      </c>
      <c r="H13" s="298">
        <v>2013</v>
      </c>
      <c r="I13" s="298">
        <v>2014</v>
      </c>
      <c r="J13" s="298">
        <v>2015</v>
      </c>
      <c r="K13" s="298">
        <v>2016</v>
      </c>
      <c r="L13" s="298">
        <v>2017</v>
      </c>
      <c r="M13" s="298">
        <v>2018</v>
      </c>
      <c r="N13" s="298">
        <v>2019</v>
      </c>
      <c r="O13" s="298">
        <v>2020</v>
      </c>
      <c r="P13" s="298">
        <v>2021</v>
      </c>
      <c r="Q13" s="298">
        <v>2022</v>
      </c>
      <c r="R13" s="298">
        <v>2023</v>
      </c>
      <c r="S13" s="298">
        <v>2024</v>
      </c>
      <c r="T13" s="298">
        <v>2025</v>
      </c>
      <c r="U13" s="298">
        <v>2026</v>
      </c>
      <c r="V13" s="298">
        <v>2027</v>
      </c>
      <c r="W13" s="298">
        <v>2028</v>
      </c>
      <c r="X13" s="298">
        <v>2029</v>
      </c>
      <c r="Y13" s="298">
        <v>2030</v>
      </c>
      <c r="Z13" s="298">
        <v>2031</v>
      </c>
    </row>
    <row r="14" spans="2:26" ht="15">
      <c r="B14" t="s">
        <v>68</v>
      </c>
      <c r="E14" s="4">
        <f>E18*E8</f>
        <v>264.24</v>
      </c>
      <c r="F14" s="4">
        <f aca="true" t="shared" si="0" ref="F14:O14">F18*$E8</f>
        <v>287.75736</v>
      </c>
      <c r="G14" s="4">
        <f t="shared" si="0"/>
        <v>313.36776504</v>
      </c>
      <c r="H14" s="4">
        <f t="shared" si="0"/>
        <v>341.25749612856</v>
      </c>
      <c r="I14" s="4">
        <f t="shared" si="0"/>
        <v>371.62941328400177</v>
      </c>
      <c r="J14" s="4">
        <f t="shared" si="0"/>
        <v>404.70443106627795</v>
      </c>
      <c r="K14" s="4">
        <f t="shared" si="0"/>
        <v>440.72312543117664</v>
      </c>
      <c r="L14" s="4">
        <f t="shared" si="0"/>
        <v>462.75928170273545</v>
      </c>
      <c r="M14" s="4">
        <f t="shared" si="0"/>
        <v>485.89724578787224</v>
      </c>
      <c r="N14" s="4">
        <f t="shared" si="0"/>
        <v>510.1921080772659</v>
      </c>
      <c r="O14" s="4">
        <f t="shared" si="0"/>
        <v>535.7017134811292</v>
      </c>
      <c r="P14" s="4">
        <f aca="true" t="shared" si="1" ref="P14:Z14">P18*$E8</f>
        <v>562.4867991551856</v>
      </c>
      <c r="Q14" s="4">
        <f t="shared" si="1"/>
        <v>590.611139112945</v>
      </c>
      <c r="R14" s="4">
        <f t="shared" si="1"/>
        <v>620.1416960685923</v>
      </c>
      <c r="S14" s="4">
        <f t="shared" si="1"/>
        <v>651.1487808720219</v>
      </c>
      <c r="T14" s="4">
        <f t="shared" si="1"/>
        <v>683.706219915623</v>
      </c>
      <c r="U14" s="4">
        <f t="shared" si="1"/>
        <v>717.8915309114043</v>
      </c>
      <c r="V14" s="4">
        <f t="shared" si="1"/>
        <v>753.7861074569745</v>
      </c>
      <c r="W14" s="4">
        <f t="shared" si="1"/>
        <v>791.4754128298232</v>
      </c>
      <c r="X14" s="4">
        <f t="shared" si="1"/>
        <v>831.0491834713144</v>
      </c>
      <c r="Y14" s="4">
        <f t="shared" si="1"/>
        <v>872.6016426448801</v>
      </c>
      <c r="Z14" s="4">
        <f t="shared" si="1"/>
        <v>900</v>
      </c>
    </row>
    <row r="15" spans="2:26" ht="15">
      <c r="B15" t="s">
        <v>70</v>
      </c>
      <c r="F15" s="4">
        <f aca="true" t="shared" si="2" ref="F15:O15">F14-E14</f>
        <v>23.517359999999996</v>
      </c>
      <c r="G15" s="4">
        <f t="shared" si="2"/>
        <v>25.61040503999999</v>
      </c>
      <c r="H15" s="4">
        <f t="shared" si="2"/>
        <v>27.889731088559984</v>
      </c>
      <c r="I15" s="4">
        <f t="shared" si="2"/>
        <v>30.371917155441793</v>
      </c>
      <c r="J15" s="4">
        <f t="shared" si="2"/>
        <v>33.07501778227618</v>
      </c>
      <c r="K15" s="4">
        <f t="shared" si="2"/>
        <v>36.01869436489869</v>
      </c>
      <c r="L15" s="4">
        <f t="shared" si="2"/>
        <v>22.03615627155881</v>
      </c>
      <c r="M15" s="4">
        <f t="shared" si="2"/>
        <v>23.137964085136787</v>
      </c>
      <c r="N15" s="4">
        <f t="shared" si="2"/>
        <v>24.294862289393677</v>
      </c>
      <c r="O15" s="4">
        <f t="shared" si="2"/>
        <v>25.509605403863304</v>
      </c>
      <c r="P15" s="4">
        <f>P14-O14</f>
        <v>26.785085674056404</v>
      </c>
      <c r="Q15" s="4">
        <f>Q14-P14</f>
        <v>28.12433995775939</v>
      </c>
      <c r="R15" s="4">
        <f>R14-Q14</f>
        <v>29.530556955647285</v>
      </c>
      <c r="S15" s="4">
        <f>S14-R14</f>
        <v>31.00708480342962</v>
      </c>
      <c r="T15" s="4">
        <f>T14-S14</f>
        <v>32.55743904360111</v>
      </c>
      <c r="U15" s="4">
        <f>U14-T14</f>
        <v>34.185310995781265</v>
      </c>
      <c r="V15" s="4">
        <f>V14-U14</f>
        <v>35.8945765455702</v>
      </c>
      <c r="W15" s="4">
        <f>W14-V14</f>
        <v>37.68930537284871</v>
      </c>
      <c r="X15" s="4">
        <f>X14-W14</f>
        <v>39.57377064149125</v>
      </c>
      <c r="Y15" s="4">
        <f>Y14-X14</f>
        <v>41.552459173565694</v>
      </c>
      <c r="Z15" s="4">
        <f>Z14-Y14</f>
        <v>27.398357355119856</v>
      </c>
    </row>
    <row r="16" spans="2:26" ht="15">
      <c r="B16" t="s">
        <v>79</v>
      </c>
      <c r="E16">
        <v>1605</v>
      </c>
      <c r="F16" s="4">
        <f>F14/$E9</f>
        <v>1747.845</v>
      </c>
      <c r="G16" s="4">
        <f aca="true" t="shared" si="3" ref="G16:O16">G14/$E9</f>
        <v>1903.403205</v>
      </c>
      <c r="H16" s="4">
        <f t="shared" si="3"/>
        <v>2072.8060902449997</v>
      </c>
      <c r="I16" s="4">
        <f t="shared" si="3"/>
        <v>2257.2858322768047</v>
      </c>
      <c r="J16" s="4">
        <f t="shared" si="3"/>
        <v>2458.18427134944</v>
      </c>
      <c r="K16" s="4">
        <f t="shared" si="3"/>
        <v>2676.96267149954</v>
      </c>
      <c r="L16" s="4">
        <f t="shared" si="3"/>
        <v>2810.8108050745172</v>
      </c>
      <c r="M16" s="4">
        <f t="shared" si="3"/>
        <v>2951.351345328243</v>
      </c>
      <c r="N16" s="4">
        <f t="shared" si="3"/>
        <v>3098.9189125946555</v>
      </c>
      <c r="O16" s="4">
        <f t="shared" si="3"/>
        <v>3253.8648582243886</v>
      </c>
      <c r="P16" s="4">
        <f aca="true" t="shared" si="4" ref="P16:Z16">P14/$E9</f>
        <v>3416.5581011356076</v>
      </c>
      <c r="Q16" s="4">
        <f t="shared" si="4"/>
        <v>3587.386006192389</v>
      </c>
      <c r="R16" s="4">
        <f t="shared" si="4"/>
        <v>3766.7553065020084</v>
      </c>
      <c r="S16" s="4">
        <f t="shared" si="4"/>
        <v>3955.093071827109</v>
      </c>
      <c r="T16" s="4">
        <f t="shared" si="4"/>
        <v>4152.8477254184645</v>
      </c>
      <c r="U16" s="4">
        <f t="shared" si="4"/>
        <v>4360.490111689388</v>
      </c>
      <c r="V16" s="4">
        <f t="shared" si="4"/>
        <v>4578.514617273858</v>
      </c>
      <c r="W16" s="4">
        <f t="shared" si="4"/>
        <v>4807.44034813755</v>
      </c>
      <c r="X16" s="4">
        <f t="shared" si="4"/>
        <v>5047.812365544428</v>
      </c>
      <c r="Y16" s="4">
        <f t="shared" si="4"/>
        <v>5300.2029838216495</v>
      </c>
      <c r="Z16" s="4">
        <f t="shared" si="4"/>
        <v>5466.621253405995</v>
      </c>
    </row>
    <row r="18" spans="2:26" ht="15">
      <c r="B18" t="s">
        <v>18</v>
      </c>
      <c r="E18">
        <f>SalData!V14</f>
        <v>5872</v>
      </c>
      <c r="F18" s="4">
        <f>SalData!W14</f>
        <v>6394.608</v>
      </c>
      <c r="G18" s="4">
        <f>IF(SalData!X14&gt;$I10,$I10,SalData!X14)</f>
        <v>6963.728112</v>
      </c>
      <c r="H18" s="4">
        <f>IF(SalData!Y14&gt;$I10,$I10,SalData!Y14)</f>
        <v>7583.499913967999</v>
      </c>
      <c r="I18" s="4">
        <f>IF(SalData!Z14&gt;$I10,$I10,SalData!Z14)</f>
        <v>8258.43140631115</v>
      </c>
      <c r="J18" s="4">
        <f>IF(SalData!AA14&gt;$I10,$I10,SalData!AA14)</f>
        <v>8993.431801472843</v>
      </c>
      <c r="K18" s="4">
        <f>IF(SalData!AB14&gt;$I10,$I10,SalData!AB14)</f>
        <v>9793.847231803926</v>
      </c>
      <c r="L18" s="4">
        <f>IF(SalData!AC14&gt;$I10,$I10,SalData!AC14)</f>
        <v>10283.539593394122</v>
      </c>
      <c r="M18" s="4">
        <f>IF(SalData!AD14&gt;$I10,$I10,SalData!AD14)</f>
        <v>10797.716573063828</v>
      </c>
      <c r="N18" s="4">
        <f>IF(SalData!AE14&gt;$I10,$I10,SalData!AE14)</f>
        <v>11337.60240171702</v>
      </c>
      <c r="O18" s="4">
        <f>IF(SalData!AF14&gt;$I10,$I10,SalData!AF14)</f>
        <v>11904.48252180287</v>
      </c>
      <c r="P18" s="4">
        <f>IF(SalData!AG14&gt;$I10,$I10,SalData!AG14)</f>
        <v>12499.706647893016</v>
      </c>
      <c r="Q18" s="4">
        <f>IF(SalData!AH14&gt;$I10,$I10,SalData!AH14)</f>
        <v>13124.691980287667</v>
      </c>
      <c r="R18" s="4">
        <f>IF(SalData!AI14&gt;$I10,$I10,SalData!AI14)</f>
        <v>13780.926579302051</v>
      </c>
      <c r="S18" s="4">
        <f>IF(SalData!AJ14&gt;$I10,$I10,SalData!AJ14)</f>
        <v>14469.972908267155</v>
      </c>
      <c r="T18" s="4">
        <f>IF(SalData!AK14&gt;$I10,$I10,SalData!AK14)</f>
        <v>15193.471553680512</v>
      </c>
      <c r="U18" s="4">
        <f>IF(SalData!AL14&gt;$I10,$I10,SalData!AL14)</f>
        <v>15953.14513136454</v>
      </c>
      <c r="V18" s="4">
        <f>IF(SalData!AM14&gt;$I10,$I10,SalData!AM14)</f>
        <v>16750.802387932767</v>
      </c>
      <c r="W18" s="4">
        <f>IF(SalData!AN14&gt;$I10,$I10,SalData!AN14)</f>
        <v>17588.342507329406</v>
      </c>
      <c r="X18" s="4">
        <f>IF(SalData!AO14&gt;$I10,$I10,SalData!AO14)</f>
        <v>18467.759632695877</v>
      </c>
      <c r="Y18" s="4">
        <f>IF(SalData!AP14&gt;$I10,$I10,SalData!AP14)</f>
        <v>19391.14761433067</v>
      </c>
      <c r="Z18" s="4">
        <f>IF(SalData!AQ14&gt;$I10,$I10,SalData!AQ14)</f>
        <v>20000</v>
      </c>
    </row>
    <row r="19" spans="2:26" ht="15">
      <c r="B19" t="s">
        <v>32</v>
      </c>
      <c r="F19" s="4">
        <f>F18-E18</f>
        <v>522.6080000000002</v>
      </c>
      <c r="G19" s="4">
        <f>G18-F18</f>
        <v>569.1201119999996</v>
      </c>
      <c r="H19" s="4">
        <f>H18-G18</f>
        <v>619.7718019679996</v>
      </c>
      <c r="I19" s="4">
        <f>I18-H18</f>
        <v>674.9314923431511</v>
      </c>
      <c r="J19" s="4">
        <f>J18-I18</f>
        <v>735.0003951616927</v>
      </c>
      <c r="K19" s="4">
        <f>K18-J18</f>
        <v>800.4154303310825</v>
      </c>
      <c r="L19" s="4">
        <f>L18-K18</f>
        <v>489.692361590196</v>
      </c>
      <c r="M19" s="4">
        <f>M18-L18</f>
        <v>514.1769796697063</v>
      </c>
      <c r="N19" s="4">
        <f>N18-M18</f>
        <v>539.8858286531922</v>
      </c>
      <c r="O19" s="4">
        <f>O18-N18</f>
        <v>566.8801200858506</v>
      </c>
      <c r="P19" s="4">
        <f>P18-O18</f>
        <v>595.2241260901446</v>
      </c>
      <c r="Q19" s="4">
        <f>Q18-P18</f>
        <v>624.9853323946518</v>
      </c>
      <c r="R19" s="4">
        <f>R18-Q18</f>
        <v>656.234599014384</v>
      </c>
      <c r="S19" s="4">
        <f>S18-R18</f>
        <v>689.0463289651034</v>
      </c>
      <c r="T19" s="4">
        <f>T18-S18</f>
        <v>723.4986454133577</v>
      </c>
      <c r="U19" s="4">
        <f>U18-T18</f>
        <v>759.6735776840269</v>
      </c>
      <c r="V19" s="4">
        <f>V18-U18</f>
        <v>797.6572565682272</v>
      </c>
      <c r="W19" s="4">
        <f>W18-V18</f>
        <v>837.540119396639</v>
      </c>
      <c r="X19" s="4">
        <f>X18-W18</f>
        <v>879.4171253664717</v>
      </c>
      <c r="Y19" s="4">
        <f>Y18-X18</f>
        <v>923.3879816347944</v>
      </c>
      <c r="Z19" s="4">
        <f>Z18-Y18</f>
        <v>608.8523856693282</v>
      </c>
    </row>
    <row r="20" spans="2:26" ht="15">
      <c r="B20" t="s">
        <v>17</v>
      </c>
      <c r="F20" s="3">
        <f>F19/E18</f>
        <v>0.08900000000000002</v>
      </c>
      <c r="G20" s="3">
        <f aca="true" t="shared" si="5" ref="G20:Z20">G19/F18</f>
        <v>0.08899999999999994</v>
      </c>
      <c r="H20" s="3">
        <f t="shared" si="5"/>
        <v>0.08899999999999995</v>
      </c>
      <c r="I20" s="3">
        <f t="shared" si="5"/>
        <v>0.0889999999999999</v>
      </c>
      <c r="J20" s="3">
        <f t="shared" si="5"/>
        <v>0.08900000000000004</v>
      </c>
      <c r="K20" s="3">
        <f t="shared" si="5"/>
        <v>0.08899999999999994</v>
      </c>
      <c r="L20" s="3">
        <f t="shared" si="5"/>
        <v>0.049999999999999975</v>
      </c>
      <c r="M20" s="3">
        <f t="shared" si="5"/>
        <v>0.05000000000000002</v>
      </c>
      <c r="N20" s="3">
        <f t="shared" si="5"/>
        <v>0.05000000000000008</v>
      </c>
      <c r="O20" s="3">
        <f t="shared" si="5"/>
        <v>0.04999999999999997</v>
      </c>
      <c r="P20" s="3">
        <f t="shared" si="5"/>
        <v>0.05000000000000009</v>
      </c>
      <c r="Q20" s="3">
        <f t="shared" si="5"/>
        <v>0.05000000000000008</v>
      </c>
      <c r="R20" s="3">
        <f t="shared" si="5"/>
        <v>0.05000000000000005</v>
      </c>
      <c r="S20" s="3">
        <f t="shared" si="5"/>
        <v>0.05000000000000006</v>
      </c>
      <c r="T20" s="3">
        <f t="shared" si="5"/>
        <v>0.05</v>
      </c>
      <c r="U20" s="3">
        <f t="shared" si="5"/>
        <v>0.050000000000000086</v>
      </c>
      <c r="V20" s="3">
        <f t="shared" si="5"/>
        <v>0.05000000000000002</v>
      </c>
      <c r="W20" s="3">
        <f t="shared" si="5"/>
        <v>0.050000000000000044</v>
      </c>
      <c r="X20" s="3">
        <f t="shared" si="5"/>
        <v>0.050000000000000086</v>
      </c>
      <c r="Y20" s="3">
        <f t="shared" si="5"/>
        <v>0.05000000000000003</v>
      </c>
      <c r="Z20" s="3">
        <f t="shared" si="5"/>
        <v>0.031398470981643556</v>
      </c>
    </row>
    <row r="21" spans="2:26" ht="15">
      <c r="B21" t="s">
        <v>27</v>
      </c>
      <c r="E21">
        <f aca="true" t="shared" si="6" ref="E21:Z21">E18*365*SalOccupancy</f>
        <v>1285968</v>
      </c>
      <c r="F21">
        <f t="shared" si="6"/>
        <v>1400419.152</v>
      </c>
      <c r="G21">
        <f t="shared" si="6"/>
        <v>1525056.4565279998</v>
      </c>
      <c r="H21">
        <f t="shared" si="6"/>
        <v>1660786.4811589918</v>
      </c>
      <c r="I21">
        <f t="shared" si="6"/>
        <v>1808596.477982142</v>
      </c>
      <c r="J21">
        <f t="shared" si="6"/>
        <v>1969561.5645225525</v>
      </c>
      <c r="K21">
        <f t="shared" si="6"/>
        <v>2144852.5437650597</v>
      </c>
      <c r="L21">
        <f t="shared" si="6"/>
        <v>2252095.170953313</v>
      </c>
      <c r="M21">
        <f t="shared" si="6"/>
        <v>2364699.929500978</v>
      </c>
      <c r="N21">
        <f t="shared" si="6"/>
        <v>2482934.9259760273</v>
      </c>
      <c r="O21">
        <f t="shared" si="6"/>
        <v>2607081.6722748284</v>
      </c>
      <c r="P21">
        <f t="shared" si="6"/>
        <v>2737435.7558885706</v>
      </c>
      <c r="Q21">
        <f t="shared" si="6"/>
        <v>2874307.543682999</v>
      </c>
      <c r="R21">
        <f t="shared" si="6"/>
        <v>3018022.9208671493</v>
      </c>
      <c r="S21">
        <f t="shared" si="6"/>
        <v>3168924.0669105067</v>
      </c>
      <c r="T21">
        <f t="shared" si="6"/>
        <v>3327370.2702560322</v>
      </c>
      <c r="U21">
        <f t="shared" si="6"/>
        <v>3493738.783768834</v>
      </c>
      <c r="V21">
        <f t="shared" si="6"/>
        <v>3668425.722957276</v>
      </c>
      <c r="W21">
        <f t="shared" si="6"/>
        <v>3851847.0091051394</v>
      </c>
      <c r="X21">
        <f t="shared" si="6"/>
        <v>4044439.359560397</v>
      </c>
      <c r="Y21">
        <f t="shared" si="6"/>
        <v>4246661.327538417</v>
      </c>
      <c r="Z21">
        <f t="shared" si="6"/>
        <v>4380000</v>
      </c>
    </row>
    <row r="22" spans="2:26" ht="15">
      <c r="B22" t="s">
        <v>26</v>
      </c>
      <c r="E22" s="7">
        <f aca="true" t="shared" si="7" ref="E22:Z22">E21*SalTourVA</f>
        <v>5979004695.576</v>
      </c>
      <c r="F22" s="7">
        <f t="shared" si="7"/>
        <v>6511136113.482264</v>
      </c>
      <c r="G22" s="7">
        <f t="shared" si="7"/>
        <v>7090627227.582185</v>
      </c>
      <c r="H22" s="7">
        <f t="shared" si="7"/>
        <v>7721693050.836999</v>
      </c>
      <c r="I22" s="7">
        <f t="shared" si="7"/>
        <v>8408923732.361491</v>
      </c>
      <c r="J22" s="7">
        <f t="shared" si="7"/>
        <v>9157317944.541664</v>
      </c>
      <c r="K22" s="7">
        <f t="shared" si="7"/>
        <v>9972319241.605871</v>
      </c>
      <c r="L22" s="7">
        <f t="shared" si="7"/>
        <v>10470935203.686167</v>
      </c>
      <c r="M22" s="7">
        <f t="shared" si="7"/>
        <v>10994481963.870472</v>
      </c>
      <c r="N22" s="7">
        <f t="shared" si="7"/>
        <v>11544206062.063997</v>
      </c>
      <c r="O22" s="7">
        <f t="shared" si="7"/>
        <v>12121416365.167196</v>
      </c>
      <c r="P22" s="7">
        <f t="shared" si="7"/>
        <v>12727487183.42556</v>
      </c>
      <c r="Q22" s="7">
        <f t="shared" si="7"/>
        <v>13363861542.596838</v>
      </c>
      <c r="R22" s="7">
        <f t="shared" si="7"/>
        <v>14032054619.72668</v>
      </c>
      <c r="S22" s="7">
        <f t="shared" si="7"/>
        <v>14733657350.713015</v>
      </c>
      <c r="T22" s="7">
        <f t="shared" si="7"/>
        <v>15470340218.248667</v>
      </c>
      <c r="U22" s="7">
        <f t="shared" si="7"/>
        <v>16243857229.1611</v>
      </c>
      <c r="V22" s="7">
        <f t="shared" si="7"/>
        <v>17056050090.619156</v>
      </c>
      <c r="W22" s="7">
        <f t="shared" si="7"/>
        <v>17908852595.150112</v>
      </c>
      <c r="X22" s="7">
        <f t="shared" si="7"/>
        <v>18804295224.90762</v>
      </c>
      <c r="Y22" s="7">
        <f t="shared" si="7"/>
        <v>19744509986.153</v>
      </c>
      <c r="Z22" s="7">
        <f t="shared" si="7"/>
        <v>20364457410</v>
      </c>
    </row>
    <row r="23" spans="2:26" ht="15">
      <c r="B23" t="s">
        <v>40</v>
      </c>
      <c r="E23" s="7">
        <f aca="true" t="shared" si="8" ref="E23:Z23">E22/exrate</f>
        <v>77649411.63085714</v>
      </c>
      <c r="F23" s="7">
        <f t="shared" si="8"/>
        <v>84560209.26600343</v>
      </c>
      <c r="G23" s="7">
        <f t="shared" si="8"/>
        <v>92086067.89067772</v>
      </c>
      <c r="H23" s="7">
        <f t="shared" si="8"/>
        <v>100281727.93294804</v>
      </c>
      <c r="I23" s="7">
        <f t="shared" si="8"/>
        <v>109206801.7189804</v>
      </c>
      <c r="J23" s="7">
        <f t="shared" si="8"/>
        <v>118926207.07196966</v>
      </c>
      <c r="K23" s="7">
        <f t="shared" si="8"/>
        <v>129510639.50137495</v>
      </c>
      <c r="L23" s="7">
        <f t="shared" si="8"/>
        <v>135986171.47644374</v>
      </c>
      <c r="M23" s="7">
        <f t="shared" si="8"/>
        <v>142785480.05026588</v>
      </c>
      <c r="N23" s="7">
        <f t="shared" si="8"/>
        <v>149924754.0527792</v>
      </c>
      <c r="O23" s="7">
        <f t="shared" si="8"/>
        <v>157420991.75541812</v>
      </c>
      <c r="P23" s="7">
        <f t="shared" si="8"/>
        <v>165292041.3431891</v>
      </c>
      <c r="Q23" s="7">
        <f t="shared" si="8"/>
        <v>173556643.41034853</v>
      </c>
      <c r="R23" s="7">
        <f t="shared" si="8"/>
        <v>182234475.58086598</v>
      </c>
      <c r="S23" s="7">
        <f t="shared" si="8"/>
        <v>191346199.35990927</v>
      </c>
      <c r="T23" s="7">
        <f t="shared" si="8"/>
        <v>200913509.32790476</v>
      </c>
      <c r="U23" s="7">
        <f t="shared" si="8"/>
        <v>210959184.79430002</v>
      </c>
      <c r="V23" s="7">
        <f t="shared" si="8"/>
        <v>221507144.034015</v>
      </c>
      <c r="W23" s="7">
        <f t="shared" si="8"/>
        <v>232582501.23571575</v>
      </c>
      <c r="X23" s="7">
        <f t="shared" si="8"/>
        <v>244211626.29750156</v>
      </c>
      <c r="Y23" s="7">
        <f t="shared" si="8"/>
        <v>256422207.61237663</v>
      </c>
      <c r="Z23" s="7">
        <f t="shared" si="8"/>
        <v>264473472.85714287</v>
      </c>
    </row>
    <row r="24" spans="2:26" ht="15">
      <c r="B24" t="s">
        <v>45</v>
      </c>
      <c r="E24" s="7"/>
      <c r="F24" s="7">
        <f aca="true" t="shared" si="9" ref="F24:Z24">F15*ConstructC*ConstructVA</f>
        <v>1358127539.9999998</v>
      </c>
      <c r="G24" s="7">
        <f t="shared" si="9"/>
        <v>1479000891.0599995</v>
      </c>
      <c r="H24" s="7">
        <f t="shared" si="9"/>
        <v>1610631970.364339</v>
      </c>
      <c r="I24" s="7">
        <f t="shared" si="9"/>
        <v>1753978215.7267635</v>
      </c>
      <c r="J24" s="7">
        <f t="shared" si="9"/>
        <v>1910082276.9264493</v>
      </c>
      <c r="K24" s="7">
        <f t="shared" si="9"/>
        <v>2080079599.5728996</v>
      </c>
      <c r="L24" s="7">
        <f t="shared" si="9"/>
        <v>1272588024.6825213</v>
      </c>
      <c r="M24" s="7">
        <f t="shared" si="9"/>
        <v>1336217425.9166493</v>
      </c>
      <c r="N24" s="7">
        <f t="shared" si="9"/>
        <v>1403028297.2124848</v>
      </c>
      <c r="O24" s="7">
        <f t="shared" si="9"/>
        <v>1473179712.0731058</v>
      </c>
      <c r="P24" s="7">
        <f t="shared" si="9"/>
        <v>1546838697.6767573</v>
      </c>
      <c r="Q24" s="7">
        <f t="shared" si="9"/>
        <v>1624180632.5606048</v>
      </c>
      <c r="R24" s="7">
        <f t="shared" si="9"/>
        <v>1705389664.1886306</v>
      </c>
      <c r="S24" s="7">
        <f t="shared" si="9"/>
        <v>1790659147.3980606</v>
      </c>
      <c r="T24" s="7">
        <f t="shared" si="9"/>
        <v>1880192104.767964</v>
      </c>
      <c r="U24" s="7">
        <f t="shared" si="9"/>
        <v>1974201710.0063682</v>
      </c>
      <c r="V24" s="7">
        <f t="shared" si="9"/>
        <v>2072911795.5066793</v>
      </c>
      <c r="W24" s="7">
        <f t="shared" si="9"/>
        <v>2176557385.282013</v>
      </c>
      <c r="X24" s="7">
        <f t="shared" si="9"/>
        <v>2285385254.5461197</v>
      </c>
      <c r="Y24" s="7">
        <f t="shared" si="9"/>
        <v>2399654517.273419</v>
      </c>
      <c r="Z24" s="7">
        <f t="shared" si="9"/>
        <v>1582255137.2581718</v>
      </c>
    </row>
    <row r="25" spans="2:26" ht="15">
      <c r="B25" s="8" t="s">
        <v>46</v>
      </c>
      <c r="C25" s="8"/>
      <c r="D25" s="8"/>
      <c r="E25" s="15"/>
      <c r="F25" s="15">
        <f aca="true" t="shared" si="10" ref="F25:Z25">F24/exrate</f>
        <v>17638019.999999996</v>
      </c>
      <c r="G25" s="15">
        <f t="shared" si="10"/>
        <v>19207803.779999994</v>
      </c>
      <c r="H25" s="15">
        <f t="shared" si="10"/>
        <v>20917298.31641999</v>
      </c>
      <c r="I25" s="15">
        <f t="shared" si="10"/>
        <v>22778937.866581343</v>
      </c>
      <c r="J25" s="15">
        <f t="shared" si="10"/>
        <v>24806263.336707134</v>
      </c>
      <c r="K25" s="15">
        <f t="shared" si="10"/>
        <v>27014020.77367402</v>
      </c>
      <c r="L25" s="15">
        <f t="shared" si="10"/>
        <v>16527117.203669108</v>
      </c>
      <c r="M25" s="15">
        <f t="shared" si="10"/>
        <v>17353473.06385259</v>
      </c>
      <c r="N25" s="15">
        <f t="shared" si="10"/>
        <v>18221146.71704526</v>
      </c>
      <c r="O25" s="15">
        <f t="shared" si="10"/>
        <v>19132204.05289748</v>
      </c>
      <c r="P25" s="15">
        <f t="shared" si="10"/>
        <v>20088814.255542304</v>
      </c>
      <c r="Q25" s="15">
        <f t="shared" si="10"/>
        <v>21093254.968319543</v>
      </c>
      <c r="R25" s="15">
        <f t="shared" si="10"/>
        <v>22147917.716735464</v>
      </c>
      <c r="S25" s="15">
        <f t="shared" si="10"/>
        <v>23255313.602572214</v>
      </c>
      <c r="T25" s="15">
        <f t="shared" si="10"/>
        <v>24418079.28270083</v>
      </c>
      <c r="U25" s="15">
        <f t="shared" si="10"/>
        <v>25638983.24683595</v>
      </c>
      <c r="V25" s="15">
        <f t="shared" si="10"/>
        <v>26920932.409177653</v>
      </c>
      <c r="W25" s="15">
        <f t="shared" si="10"/>
        <v>28266979.029636532</v>
      </c>
      <c r="X25" s="15">
        <f t="shared" si="10"/>
        <v>29680327.981118437</v>
      </c>
      <c r="Y25" s="15">
        <f t="shared" si="10"/>
        <v>31164344.38017427</v>
      </c>
      <c r="Z25" s="15">
        <f t="shared" si="10"/>
        <v>20548768.016339894</v>
      </c>
    </row>
    <row r="26" spans="2:26" ht="15">
      <c r="B26" t="s">
        <v>47</v>
      </c>
      <c r="E26" s="7">
        <f>E22+E24</f>
        <v>5979004695.576</v>
      </c>
      <c r="F26" s="7">
        <f>F22+F24</f>
        <v>7869263653.482264</v>
      </c>
      <c r="G26" s="7">
        <f aca="true" t="shared" si="11" ref="G26:Z26">G22+G24</f>
        <v>8569628118.642184</v>
      </c>
      <c r="H26" s="7">
        <f t="shared" si="11"/>
        <v>9332325021.201338</v>
      </c>
      <c r="I26" s="7">
        <f t="shared" si="11"/>
        <v>10162901948.088255</v>
      </c>
      <c r="J26" s="7">
        <f t="shared" si="11"/>
        <v>11067400221.468113</v>
      </c>
      <c r="K26" s="7">
        <f t="shared" si="11"/>
        <v>12052398841.17877</v>
      </c>
      <c r="L26" s="7">
        <f t="shared" si="11"/>
        <v>11743523228.368689</v>
      </c>
      <c r="M26" s="7">
        <f t="shared" si="11"/>
        <v>12330699389.78712</v>
      </c>
      <c r="N26" s="7">
        <f t="shared" si="11"/>
        <v>12947234359.276482</v>
      </c>
      <c r="O26" s="7">
        <f t="shared" si="11"/>
        <v>13594596077.240303</v>
      </c>
      <c r="P26" s="7">
        <f t="shared" si="11"/>
        <v>14274325881.102318</v>
      </c>
      <c r="Q26" s="7">
        <f t="shared" si="11"/>
        <v>14988042175.157442</v>
      </c>
      <c r="R26" s="7">
        <f t="shared" si="11"/>
        <v>15737444283.915312</v>
      </c>
      <c r="S26" s="7">
        <f t="shared" si="11"/>
        <v>16524316498.111074</v>
      </c>
      <c r="T26" s="7">
        <f t="shared" si="11"/>
        <v>17350532323.016632</v>
      </c>
      <c r="U26" s="7">
        <f t="shared" si="11"/>
        <v>18218058939.16747</v>
      </c>
      <c r="V26" s="7">
        <f t="shared" si="11"/>
        <v>19128961886.125835</v>
      </c>
      <c r="W26" s="7">
        <f t="shared" si="11"/>
        <v>20085409980.432125</v>
      </c>
      <c r="X26" s="7">
        <f t="shared" si="11"/>
        <v>21089680479.45374</v>
      </c>
      <c r="Y26" s="7">
        <f t="shared" si="11"/>
        <v>22144164503.42642</v>
      </c>
      <c r="Z26" s="7">
        <f t="shared" si="11"/>
        <v>21946712547.25817</v>
      </c>
    </row>
    <row r="27" spans="2:26" ht="15">
      <c r="B27" t="s">
        <v>48</v>
      </c>
      <c r="E27" s="7">
        <f>E23+E25</f>
        <v>77649411.63085714</v>
      </c>
      <c r="F27" s="7">
        <f>F23+F25</f>
        <v>102198229.26600343</v>
      </c>
      <c r="G27" s="7">
        <f aca="true" t="shared" si="12" ref="G27:Z27">G23+G25</f>
        <v>111293871.67067772</v>
      </c>
      <c r="H27" s="7">
        <f t="shared" si="12"/>
        <v>121199026.24936803</v>
      </c>
      <c r="I27" s="7">
        <f t="shared" si="12"/>
        <v>131985739.58556175</v>
      </c>
      <c r="J27" s="7">
        <f t="shared" si="12"/>
        <v>143732470.4086768</v>
      </c>
      <c r="K27" s="7">
        <f t="shared" si="12"/>
        <v>156524660.27504897</v>
      </c>
      <c r="L27" s="7">
        <f t="shared" si="12"/>
        <v>152513288.68011284</v>
      </c>
      <c r="M27" s="7">
        <f t="shared" si="12"/>
        <v>160138953.11411846</v>
      </c>
      <c r="N27" s="7">
        <f t="shared" si="12"/>
        <v>168145900.76982445</v>
      </c>
      <c r="O27" s="7">
        <f t="shared" si="12"/>
        <v>176553195.8083156</v>
      </c>
      <c r="P27" s="7">
        <f t="shared" si="12"/>
        <v>185380855.5987314</v>
      </c>
      <c r="Q27" s="7">
        <f t="shared" si="12"/>
        <v>194649898.37866807</v>
      </c>
      <c r="R27" s="7">
        <f t="shared" si="12"/>
        <v>204382393.29760143</v>
      </c>
      <c r="S27" s="7">
        <f t="shared" si="12"/>
        <v>214601512.96248147</v>
      </c>
      <c r="T27" s="7">
        <f t="shared" si="12"/>
        <v>225331588.6106056</v>
      </c>
      <c r="U27" s="7">
        <f t="shared" si="12"/>
        <v>236598168.04113597</v>
      </c>
      <c r="V27" s="7">
        <f t="shared" si="12"/>
        <v>248428076.44319266</v>
      </c>
      <c r="W27" s="7">
        <f t="shared" si="12"/>
        <v>260849480.26535228</v>
      </c>
      <c r="X27" s="7">
        <f t="shared" si="12"/>
        <v>273891954.27862</v>
      </c>
      <c r="Y27" s="7">
        <f t="shared" si="12"/>
        <v>287586551.9925509</v>
      </c>
      <c r="Z27" s="7">
        <f t="shared" si="12"/>
        <v>285022240.87348276</v>
      </c>
    </row>
    <row r="29" spans="2:26" ht="15">
      <c r="B29" s="12" t="s">
        <v>30</v>
      </c>
      <c r="E29" s="297" t="s">
        <v>28</v>
      </c>
      <c r="F29" s="12">
        <v>0</v>
      </c>
      <c r="G29" s="12">
        <v>1</v>
      </c>
      <c r="H29" s="12">
        <v>2</v>
      </c>
      <c r="I29" s="12">
        <v>3</v>
      </c>
      <c r="J29" s="12">
        <v>4</v>
      </c>
      <c r="K29" s="12">
        <v>5</v>
      </c>
      <c r="L29" s="12">
        <v>6</v>
      </c>
      <c r="M29" s="12">
        <v>7</v>
      </c>
      <c r="N29" s="12">
        <v>8</v>
      </c>
      <c r="O29" s="12">
        <v>9</v>
      </c>
      <c r="P29" s="12">
        <v>10</v>
      </c>
      <c r="Q29" s="12">
        <v>11</v>
      </c>
      <c r="R29" s="12">
        <v>12</v>
      </c>
      <c r="S29" s="12">
        <v>13</v>
      </c>
      <c r="T29" s="12">
        <v>14</v>
      </c>
      <c r="U29" s="12">
        <v>15</v>
      </c>
      <c r="V29" s="12">
        <v>16</v>
      </c>
      <c r="W29" s="12">
        <v>17</v>
      </c>
      <c r="X29" s="12">
        <v>18</v>
      </c>
      <c r="Y29" s="12">
        <v>19</v>
      </c>
      <c r="Z29" s="12">
        <v>20</v>
      </c>
    </row>
    <row r="30" spans="5:26" ht="15">
      <c r="E30" s="298">
        <v>2010</v>
      </c>
      <c r="F30" s="298">
        <v>2011</v>
      </c>
      <c r="G30" s="298">
        <v>2012</v>
      </c>
      <c r="H30" s="298">
        <v>2013</v>
      </c>
      <c r="I30" s="298">
        <v>2014</v>
      </c>
      <c r="J30" s="298">
        <v>2015</v>
      </c>
      <c r="K30" s="298">
        <v>2016</v>
      </c>
      <c r="L30" s="298">
        <v>2017</v>
      </c>
      <c r="M30" s="298">
        <v>2018</v>
      </c>
      <c r="N30" s="298">
        <v>2019</v>
      </c>
      <c r="O30" s="298">
        <v>2020</v>
      </c>
      <c r="P30" s="298">
        <v>2021</v>
      </c>
      <c r="Q30" s="298">
        <v>2022</v>
      </c>
      <c r="R30" s="298">
        <v>2023</v>
      </c>
      <c r="S30" s="298">
        <v>2024</v>
      </c>
      <c r="T30" s="298">
        <v>2025</v>
      </c>
      <c r="U30" s="298">
        <v>2026</v>
      </c>
      <c r="V30" s="298">
        <v>2027</v>
      </c>
      <c r="W30" s="298">
        <v>2028</v>
      </c>
      <c r="X30" s="298">
        <v>2029</v>
      </c>
      <c r="Y30" s="298">
        <v>2030</v>
      </c>
      <c r="Z30" s="298">
        <v>2031</v>
      </c>
    </row>
    <row r="31" spans="2:4" ht="15">
      <c r="B31" t="s">
        <v>31</v>
      </c>
      <c r="D31" s="355"/>
    </row>
    <row r="32" spans="2:26" ht="15">
      <c r="B32" t="s">
        <v>68</v>
      </c>
      <c r="E32" s="4">
        <f aca="true" t="shared" si="13" ref="E32:O32">E36*$E8</f>
        <v>264.24</v>
      </c>
      <c r="F32" s="4">
        <f t="shared" si="13"/>
        <v>287.75736</v>
      </c>
      <c r="G32" s="4">
        <f t="shared" si="13"/>
        <v>313.36776504</v>
      </c>
      <c r="H32" s="4">
        <f t="shared" si="13"/>
        <v>341.25749612856</v>
      </c>
      <c r="I32" s="4">
        <f t="shared" si="13"/>
        <v>371.62941328400177</v>
      </c>
      <c r="J32" s="4">
        <f t="shared" si="13"/>
        <v>404.70443106627795</v>
      </c>
      <c r="K32" s="4">
        <f t="shared" si="13"/>
        <v>463.8610895163134</v>
      </c>
      <c r="L32" s="4">
        <f t="shared" si="13"/>
        <v>488.15595180570705</v>
      </c>
      <c r="M32" s="4">
        <f t="shared" si="13"/>
        <v>513.6655572095704</v>
      </c>
      <c r="N32" s="4">
        <f t="shared" si="13"/>
        <v>540.4506428836269</v>
      </c>
      <c r="O32" s="4">
        <f t="shared" si="13"/>
        <v>568.5749828413861</v>
      </c>
      <c r="P32" s="4">
        <f aca="true" t="shared" si="14" ref="P32:Z32">P36*$E8</f>
        <v>598.1055397970334</v>
      </c>
      <c r="Q32" s="4">
        <f t="shared" si="14"/>
        <v>629.1126246004632</v>
      </c>
      <c r="R32" s="4">
        <f t="shared" si="14"/>
        <v>661.6700636440643</v>
      </c>
      <c r="S32" s="4">
        <f t="shared" si="14"/>
        <v>695.8553746398454</v>
      </c>
      <c r="T32" s="4">
        <f t="shared" si="14"/>
        <v>731.7499511854156</v>
      </c>
      <c r="U32" s="4">
        <f t="shared" si="14"/>
        <v>769.4392565582643</v>
      </c>
      <c r="V32" s="4">
        <f t="shared" si="14"/>
        <v>809.0130271997556</v>
      </c>
      <c r="W32" s="4">
        <f t="shared" si="14"/>
        <v>850.5654863733213</v>
      </c>
      <c r="X32" s="4">
        <f t="shared" si="14"/>
        <v>894.1955685055653</v>
      </c>
      <c r="Y32" s="4">
        <f t="shared" si="14"/>
        <v>900</v>
      </c>
      <c r="Z32" s="4">
        <f t="shared" si="14"/>
        <v>900</v>
      </c>
    </row>
    <row r="33" spans="2:26" ht="15">
      <c r="B33" t="s">
        <v>70</v>
      </c>
      <c r="F33" s="4">
        <f>F32-E32</f>
        <v>23.517359999999996</v>
      </c>
      <c r="G33" s="4">
        <f aca="true" t="shared" si="15" ref="G33:M33">G32-F32</f>
        <v>25.61040503999999</v>
      </c>
      <c r="H33" s="4">
        <f t="shared" si="15"/>
        <v>27.889731088559984</v>
      </c>
      <c r="I33" s="4">
        <f t="shared" si="15"/>
        <v>30.371917155441793</v>
      </c>
      <c r="J33" s="4">
        <f t="shared" si="15"/>
        <v>33.07501778227618</v>
      </c>
      <c r="K33" s="4">
        <f t="shared" si="15"/>
        <v>59.15665845003548</v>
      </c>
      <c r="L33" s="4">
        <f t="shared" si="15"/>
        <v>24.29486228939362</v>
      </c>
      <c r="M33" s="4">
        <f t="shared" si="15"/>
        <v>25.509605403863304</v>
      </c>
      <c r="N33" s="4">
        <f>N32-M32</f>
        <v>26.785085674056518</v>
      </c>
      <c r="O33" s="4">
        <f>O32-N32</f>
        <v>28.124339957759275</v>
      </c>
      <c r="P33" s="4">
        <f aca="true" t="shared" si="16" ref="P33:Z33">P32-O32</f>
        <v>29.530556955647285</v>
      </c>
      <c r="Q33" s="4">
        <f t="shared" si="16"/>
        <v>31.007084803429734</v>
      </c>
      <c r="R33" s="4">
        <f t="shared" si="16"/>
        <v>32.55743904360111</v>
      </c>
      <c r="S33" s="4">
        <f t="shared" si="16"/>
        <v>34.18531099578115</v>
      </c>
      <c r="T33" s="4">
        <f t="shared" si="16"/>
        <v>35.8945765455702</v>
      </c>
      <c r="U33" s="4">
        <f t="shared" si="16"/>
        <v>37.68930537284871</v>
      </c>
      <c r="V33" s="4">
        <f t="shared" si="16"/>
        <v>39.57377064149125</v>
      </c>
      <c r="W33" s="4">
        <f t="shared" si="16"/>
        <v>41.552459173565694</v>
      </c>
      <c r="X33" s="4">
        <f t="shared" si="16"/>
        <v>43.63008213224407</v>
      </c>
      <c r="Y33" s="4">
        <f t="shared" si="16"/>
        <v>5.8044314944346524</v>
      </c>
      <c r="Z33" s="4">
        <f t="shared" si="16"/>
        <v>0</v>
      </c>
    </row>
    <row r="34" spans="2:26" ht="15">
      <c r="B34" t="s">
        <v>79</v>
      </c>
      <c r="E34">
        <f>E16</f>
        <v>1605</v>
      </c>
      <c r="F34" s="4">
        <f>F32/$E9</f>
        <v>1747.845</v>
      </c>
      <c r="G34" s="4">
        <f aca="true" t="shared" si="17" ref="G34:N34">G32/$E9</f>
        <v>1903.403205</v>
      </c>
      <c r="H34" s="4">
        <f t="shared" si="17"/>
        <v>2072.8060902449997</v>
      </c>
      <c r="I34" s="4">
        <f t="shared" si="17"/>
        <v>2257.2858322768047</v>
      </c>
      <c r="J34" s="4">
        <f t="shared" si="17"/>
        <v>2458.18427134944</v>
      </c>
      <c r="K34" s="4">
        <f t="shared" si="17"/>
        <v>2817.503211753266</v>
      </c>
      <c r="L34" s="4">
        <f t="shared" si="17"/>
        <v>2965.0707790196784</v>
      </c>
      <c r="M34" s="4">
        <f t="shared" si="17"/>
        <v>3120.016724649411</v>
      </c>
      <c r="N34" s="4">
        <f t="shared" si="17"/>
        <v>3282.709967560631</v>
      </c>
      <c r="O34" s="4">
        <f>O32/$E9</f>
        <v>3453.5378726174113</v>
      </c>
      <c r="P34" s="4">
        <f aca="true" t="shared" si="18" ref="P34:Z34">P32/$E9</f>
        <v>3632.907172927031</v>
      </c>
      <c r="Q34" s="4">
        <f t="shared" si="18"/>
        <v>3821.244938252132</v>
      </c>
      <c r="R34" s="4">
        <f t="shared" si="18"/>
        <v>4018.9995918434875</v>
      </c>
      <c r="S34" s="4">
        <f t="shared" si="18"/>
        <v>4226.64197811441</v>
      </c>
      <c r="T34" s="4">
        <f t="shared" si="18"/>
        <v>4444.66648369888</v>
      </c>
      <c r="U34" s="4">
        <f t="shared" si="18"/>
        <v>4673.592214562573</v>
      </c>
      <c r="V34" s="4">
        <f t="shared" si="18"/>
        <v>4913.964231969451</v>
      </c>
      <c r="W34" s="4">
        <f t="shared" si="18"/>
        <v>5166.354850246672</v>
      </c>
      <c r="X34" s="4">
        <f t="shared" si="18"/>
        <v>5431.364999437755</v>
      </c>
      <c r="Y34" s="4">
        <f t="shared" si="18"/>
        <v>5466.621253405995</v>
      </c>
      <c r="Z34" s="4">
        <f t="shared" si="18"/>
        <v>5466.621253405995</v>
      </c>
    </row>
    <row r="36" spans="2:26" ht="15">
      <c r="B36" t="s">
        <v>18</v>
      </c>
      <c r="E36" s="4">
        <f>E18</f>
        <v>5872</v>
      </c>
      <c r="F36" s="4">
        <f>SalData!W17</f>
        <v>6394.608</v>
      </c>
      <c r="G36" s="4">
        <f>IF(SalData!X17&gt;$I10,$I10,SalData!X17)</f>
        <v>6963.728112</v>
      </c>
      <c r="H36" s="4">
        <f>IF(SalData!Y17&gt;$I10,$I10,SalData!Y17)</f>
        <v>7583.499913967999</v>
      </c>
      <c r="I36" s="4">
        <f>IF(SalData!Z17&gt;$I10,$I10,SalData!Z17)</f>
        <v>8258.43140631115</v>
      </c>
      <c r="J36" s="4">
        <f>IF(SalData!AA17&gt;$I10,$I10,SalData!AA17)</f>
        <v>8993.431801472843</v>
      </c>
      <c r="K36" s="4">
        <f>IF(SalData!AB17&gt;$I10,$I10,SalData!AB17)</f>
        <v>10308.024211473632</v>
      </c>
      <c r="L36" s="4">
        <f>IF(SalData!AC17&gt;$I10,$I10,SalData!AC17)</f>
        <v>10847.910040126824</v>
      </c>
      <c r="M36" s="4">
        <f>IF(SalData!AD17&gt;$I10,$I10,SalData!AD17)</f>
        <v>11414.790160212675</v>
      </c>
      <c r="N36" s="4">
        <f>IF(SalData!AE17&gt;$I10,$I10,SalData!AE17)</f>
        <v>12010.01428630282</v>
      </c>
      <c r="O36" s="4">
        <f>IF(SalData!AF17&gt;$I10,$I10,SalData!AF17)</f>
        <v>12634.999618697471</v>
      </c>
      <c r="P36" s="4">
        <f>IF(SalData!AG17&gt;$I10,$I10,SalData!AG17)</f>
        <v>13291.234217711855</v>
      </c>
      <c r="Q36" s="4">
        <f>IF(SalData!AH17&gt;$I10,$I10,SalData!AH17)</f>
        <v>13980.280546676959</v>
      </c>
      <c r="R36" s="4">
        <f>IF(SalData!AI17&gt;$I10,$I10,SalData!AI17)</f>
        <v>14703.779192090316</v>
      </c>
      <c r="S36" s="4">
        <f>IF(SalData!AJ17&gt;$I10,$I10,SalData!AJ17)</f>
        <v>15463.452769774343</v>
      </c>
      <c r="T36" s="4">
        <f>IF(SalData!AK17&gt;$I10,$I10,SalData!AK17)</f>
        <v>16261.11002634257</v>
      </c>
      <c r="U36" s="4">
        <f>IF(SalData!AL17&gt;$I10,$I10,SalData!AL17)</f>
        <v>17098.650145739208</v>
      </c>
      <c r="V36" s="4">
        <f>IF(SalData!AM17&gt;$I10,$I10,SalData!AM17)</f>
        <v>17978.06727110568</v>
      </c>
      <c r="W36" s="4">
        <f>IF(SalData!AN17&gt;$I10,$I10,SalData!AN17)</f>
        <v>18901.455252740474</v>
      </c>
      <c r="X36" s="4">
        <f>IF(SalData!AO17&gt;$I10,$I10,SalData!AO17)</f>
        <v>19871.01263345701</v>
      </c>
      <c r="Y36" s="4">
        <f>IF(SalData!AP17&gt;$I10,$I10,SalData!AP17)</f>
        <v>20000</v>
      </c>
      <c r="Z36" s="4">
        <f>IF(SalData!AQ17&gt;$I10,$I10,SalData!AQ17)</f>
        <v>20000</v>
      </c>
    </row>
    <row r="37" spans="2:31" ht="15">
      <c r="B37" t="s">
        <v>32</v>
      </c>
      <c r="F37" s="4">
        <f>F36-E36</f>
        <v>522.6080000000002</v>
      </c>
      <c r="G37" s="4">
        <f>G36-F36</f>
        <v>569.1201119999996</v>
      </c>
      <c r="H37" s="4">
        <f>H36-G36</f>
        <v>619.7718019679996</v>
      </c>
      <c r="I37" s="4">
        <f>I36-H36</f>
        <v>674.9314923431511</v>
      </c>
      <c r="J37" s="4">
        <f>J36-I36</f>
        <v>735.0003951616927</v>
      </c>
      <c r="K37" s="4">
        <f>K36-J36</f>
        <v>1314.5924100007887</v>
      </c>
      <c r="L37" s="4">
        <f>L36-K36</f>
        <v>539.8858286531922</v>
      </c>
      <c r="M37" s="4">
        <f>M36-L36</f>
        <v>566.8801200858506</v>
      </c>
      <c r="N37" s="4">
        <f>N36-M36</f>
        <v>595.2241260901446</v>
      </c>
      <c r="O37" s="4">
        <f>O36-N36</f>
        <v>624.9853323946518</v>
      </c>
      <c r="P37" s="4">
        <f>P36-O36</f>
        <v>656.234599014384</v>
      </c>
      <c r="Q37" s="4">
        <f>Q36-P36</f>
        <v>689.0463289651034</v>
      </c>
      <c r="R37" s="4">
        <f>R36-Q36</f>
        <v>723.4986454133577</v>
      </c>
      <c r="S37" s="4">
        <f>S36-R36</f>
        <v>759.6735776840269</v>
      </c>
      <c r="T37" s="4">
        <f>T36-S36</f>
        <v>797.6572565682272</v>
      </c>
      <c r="U37" s="4">
        <f>U36-T36</f>
        <v>837.5401193966372</v>
      </c>
      <c r="V37" s="4">
        <f>V36-U36</f>
        <v>879.4171253664717</v>
      </c>
      <c r="W37" s="4">
        <f>W36-V36</f>
        <v>923.3879816347944</v>
      </c>
      <c r="X37" s="4">
        <f>X36-W36</f>
        <v>969.5573807165347</v>
      </c>
      <c r="Y37" s="4">
        <f>Y36-X36</f>
        <v>128.98736654299137</v>
      </c>
      <c r="Z37" s="4">
        <f>Z36-Y36</f>
        <v>0</v>
      </c>
      <c r="AA37" s="4"/>
      <c r="AB37" s="4"/>
      <c r="AC37" s="4"/>
      <c r="AD37" s="4"/>
      <c r="AE37" s="4"/>
    </row>
    <row r="38" spans="2:31" ht="15">
      <c r="B38" t="s">
        <v>17</v>
      </c>
      <c r="F38" s="3">
        <f>F37/E36</f>
        <v>0.08900000000000002</v>
      </c>
      <c r="G38" s="3">
        <f>G37/F36</f>
        <v>0.08899999999999994</v>
      </c>
      <c r="H38" s="3">
        <f>H37/G36</f>
        <v>0.08899999999999995</v>
      </c>
      <c r="I38" s="3">
        <f>I37/H36</f>
        <v>0.0889999999999999</v>
      </c>
      <c r="J38" s="3">
        <f>J37/I36</f>
        <v>0.08900000000000004</v>
      </c>
      <c r="K38" s="3">
        <f>K37/J36</f>
        <v>0.14617249999999996</v>
      </c>
      <c r="L38" s="3">
        <f>L37/K36</f>
        <v>0.052375296912114094</v>
      </c>
      <c r="M38" s="3">
        <f>M37/L36</f>
        <v>0.05225708159349957</v>
      </c>
      <c r="N38" s="3">
        <f>N37/M36</f>
        <v>0.05214499064247842</v>
      </c>
      <c r="O38" s="3">
        <f>O37/N36</f>
        <v>0.05203868350993013</v>
      </c>
      <c r="P38" s="3">
        <f>P37/O36</f>
        <v>0.05193784082456779</v>
      </c>
      <c r="Q38" s="3">
        <f>Q37/P36</f>
        <v>0.05184216286301557</v>
      </c>
      <c r="R38" s="3">
        <f>R37/Q36</f>
        <v>0.05175136815014272</v>
      </c>
      <c r="S38" s="3">
        <f>S37/R36</f>
        <v>0.05166519217676244</v>
      </c>
      <c r="T38" s="3">
        <f>T37/S36</f>
        <v>0.051583386223248213</v>
      </c>
      <c r="U38" s="3">
        <f>U37/T36</f>
        <v>0.05150571627889143</v>
      </c>
      <c r="V38" s="3">
        <f>V37/U36</f>
        <v>0.05143196204792883</v>
      </c>
      <c r="W38" s="3">
        <f>W37/V36</f>
        <v>0.05136191603414801</v>
      </c>
      <c r="X38" s="3">
        <f>X37/W36</f>
        <v>0.051295382696840815</v>
      </c>
      <c r="Y38" s="3">
        <f>Y37/X36</f>
        <v>0.00649123267758454</v>
      </c>
      <c r="Z38" s="3">
        <f>Z37/Y36</f>
        <v>0</v>
      </c>
      <c r="AA38" s="4"/>
      <c r="AB38" s="4"/>
      <c r="AC38" s="4"/>
      <c r="AD38" s="4"/>
      <c r="AE38" s="4"/>
    </row>
    <row r="39" spans="2:26" ht="15">
      <c r="B39" t="s">
        <v>27</v>
      </c>
      <c r="E39">
        <f aca="true" t="shared" si="19" ref="E39:Z39">E36*365*SalOccupancy</f>
        <v>1285968</v>
      </c>
      <c r="F39">
        <f t="shared" si="19"/>
        <v>1400419.152</v>
      </c>
      <c r="G39">
        <f t="shared" si="19"/>
        <v>1525056.4565279998</v>
      </c>
      <c r="H39">
        <f t="shared" si="19"/>
        <v>1660786.4811589918</v>
      </c>
      <c r="I39">
        <f t="shared" si="19"/>
        <v>1808596.477982142</v>
      </c>
      <c r="J39">
        <f t="shared" si="19"/>
        <v>1969561.5645225525</v>
      </c>
      <c r="K39">
        <f t="shared" si="19"/>
        <v>2257457.302312725</v>
      </c>
      <c r="L39">
        <f t="shared" si="19"/>
        <v>2375692.2987877745</v>
      </c>
      <c r="M39">
        <f t="shared" si="19"/>
        <v>2499839.0450865757</v>
      </c>
      <c r="N39">
        <f t="shared" si="19"/>
        <v>2630193.1287003173</v>
      </c>
      <c r="O39">
        <f t="shared" si="19"/>
        <v>2767064.9164947458</v>
      </c>
      <c r="P39">
        <f t="shared" si="19"/>
        <v>2910780.293678896</v>
      </c>
      <c r="Q39">
        <f t="shared" si="19"/>
        <v>3061681.439722254</v>
      </c>
      <c r="R39">
        <f t="shared" si="19"/>
        <v>3220127.643067779</v>
      </c>
      <c r="S39">
        <f t="shared" si="19"/>
        <v>3386496.1565805813</v>
      </c>
      <c r="T39">
        <f t="shared" si="19"/>
        <v>3561183.0957690226</v>
      </c>
      <c r="U39">
        <f t="shared" si="19"/>
        <v>3744604.381916886</v>
      </c>
      <c r="V39">
        <f t="shared" si="19"/>
        <v>3937196.732372144</v>
      </c>
      <c r="W39">
        <f t="shared" si="19"/>
        <v>4139418.7003501635</v>
      </c>
      <c r="X39">
        <f t="shared" si="19"/>
        <v>4351751.766727085</v>
      </c>
      <c r="Y39">
        <f t="shared" si="19"/>
        <v>4380000</v>
      </c>
      <c r="Z39">
        <f t="shared" si="19"/>
        <v>4380000</v>
      </c>
    </row>
    <row r="40" spans="2:26" ht="15">
      <c r="B40" t="s">
        <v>50</v>
      </c>
      <c r="E40" s="7">
        <f aca="true" t="shared" si="20" ref="E40:Z40">E39*SalTourVA</f>
        <v>5979004695.576</v>
      </c>
      <c r="F40" s="7">
        <f t="shared" si="20"/>
        <v>6511136113.482264</v>
      </c>
      <c r="G40" s="7">
        <f t="shared" si="20"/>
        <v>7090627227.582185</v>
      </c>
      <c r="H40" s="7">
        <f t="shared" si="20"/>
        <v>7721693050.836999</v>
      </c>
      <c r="I40" s="7">
        <f t="shared" si="20"/>
        <v>8408923732.361491</v>
      </c>
      <c r="J40" s="7">
        <f t="shared" si="20"/>
        <v>9157317944.541664</v>
      </c>
      <c r="K40" s="7">
        <f t="shared" si="20"/>
        <v>10495866001.79018</v>
      </c>
      <c r="L40" s="7">
        <f t="shared" si="20"/>
        <v>11045590099.983706</v>
      </c>
      <c r="M40" s="7">
        <f t="shared" si="20"/>
        <v>11622800403.086905</v>
      </c>
      <c r="N40" s="7">
        <f t="shared" si="20"/>
        <v>12228871221.345264</v>
      </c>
      <c r="O40" s="7">
        <f t="shared" si="20"/>
        <v>12865245580.516542</v>
      </c>
      <c r="P40" s="7">
        <f t="shared" si="20"/>
        <v>13533438657.646385</v>
      </c>
      <c r="Q40" s="7">
        <f t="shared" si="20"/>
        <v>14235041388.632723</v>
      </c>
      <c r="R40" s="7">
        <f t="shared" si="20"/>
        <v>14971724256.168371</v>
      </c>
      <c r="S40" s="7">
        <f t="shared" si="20"/>
        <v>15745241267.080809</v>
      </c>
      <c r="T40" s="7">
        <f t="shared" si="20"/>
        <v>16557434128.53886</v>
      </c>
      <c r="U40" s="7">
        <f t="shared" si="20"/>
        <v>17410236633.069817</v>
      </c>
      <c r="V40" s="7">
        <f t="shared" si="20"/>
        <v>18305679262.827328</v>
      </c>
      <c r="W40" s="7">
        <f t="shared" si="20"/>
        <v>19245894024.07271</v>
      </c>
      <c r="X40" s="7">
        <f t="shared" si="20"/>
        <v>20233119523.38036</v>
      </c>
      <c r="Y40" s="7">
        <f t="shared" si="20"/>
        <v>20364457410</v>
      </c>
      <c r="Z40" s="7">
        <f t="shared" si="20"/>
        <v>20364457410</v>
      </c>
    </row>
    <row r="41" spans="2:26" ht="15">
      <c r="B41" t="s">
        <v>51</v>
      </c>
      <c r="E41" s="7">
        <f aca="true" t="shared" si="21" ref="E41:Z41">E40/exrate</f>
        <v>77649411.63085714</v>
      </c>
      <c r="F41" s="7">
        <f t="shared" si="21"/>
        <v>84560209.26600343</v>
      </c>
      <c r="G41" s="7">
        <f t="shared" si="21"/>
        <v>92086067.89067772</v>
      </c>
      <c r="H41" s="7">
        <f t="shared" si="21"/>
        <v>100281727.93294804</v>
      </c>
      <c r="I41" s="7">
        <f t="shared" si="21"/>
        <v>109206801.7189804</v>
      </c>
      <c r="J41" s="7">
        <f t="shared" si="21"/>
        <v>118926207.07196966</v>
      </c>
      <c r="K41" s="7">
        <f t="shared" si="21"/>
        <v>136309948.07519716</v>
      </c>
      <c r="L41" s="7">
        <f t="shared" si="21"/>
        <v>143449222.07771045</v>
      </c>
      <c r="M41" s="7">
        <f t="shared" si="21"/>
        <v>150945459.7803494</v>
      </c>
      <c r="N41" s="7">
        <f t="shared" si="21"/>
        <v>158816509.3681203</v>
      </c>
      <c r="O41" s="7">
        <f t="shared" si="21"/>
        <v>167081111.4352798</v>
      </c>
      <c r="P41" s="7">
        <f t="shared" si="21"/>
        <v>175758943.6057972</v>
      </c>
      <c r="Q41" s="7">
        <f t="shared" si="21"/>
        <v>184870667.38484055</v>
      </c>
      <c r="R41" s="7">
        <f t="shared" si="21"/>
        <v>194437977.35283598</v>
      </c>
      <c r="S41" s="7">
        <f t="shared" si="21"/>
        <v>204483652.81923127</v>
      </c>
      <c r="T41" s="7">
        <f t="shared" si="21"/>
        <v>215031612.05894625</v>
      </c>
      <c r="U41" s="7">
        <f t="shared" si="21"/>
        <v>226106969.26064697</v>
      </c>
      <c r="V41" s="7">
        <f t="shared" si="21"/>
        <v>237736094.32243282</v>
      </c>
      <c r="W41" s="7">
        <f t="shared" si="21"/>
        <v>249946675.6373079</v>
      </c>
      <c r="X41" s="7">
        <f t="shared" si="21"/>
        <v>262767786.01792675</v>
      </c>
      <c r="Y41" s="7">
        <f t="shared" si="21"/>
        <v>264473472.85714287</v>
      </c>
      <c r="Z41" s="7">
        <f t="shared" si="21"/>
        <v>264473472.85714287</v>
      </c>
    </row>
    <row r="42" spans="2:26" ht="15">
      <c r="B42" t="s">
        <v>45</v>
      </c>
      <c r="E42" s="7"/>
      <c r="F42" s="7">
        <f aca="true" t="shared" si="22" ref="F42:Z42">F33*ConstructC*ConstructVA</f>
        <v>1358127539.9999998</v>
      </c>
      <c r="G42" s="7">
        <f t="shared" si="22"/>
        <v>1479000891.0599995</v>
      </c>
      <c r="H42" s="7">
        <f t="shared" si="22"/>
        <v>1610631970.364339</v>
      </c>
      <c r="I42" s="7">
        <f t="shared" si="22"/>
        <v>1753978215.7267635</v>
      </c>
      <c r="J42" s="7">
        <f t="shared" si="22"/>
        <v>1910082276.9264493</v>
      </c>
      <c r="K42" s="7">
        <f t="shared" si="22"/>
        <v>3416297025.489549</v>
      </c>
      <c r="L42" s="7">
        <f t="shared" si="22"/>
        <v>1403028297.2124815</v>
      </c>
      <c r="M42" s="7">
        <f t="shared" si="22"/>
        <v>1473179712.0731058</v>
      </c>
      <c r="N42" s="7">
        <f t="shared" si="22"/>
        <v>1546838697.676764</v>
      </c>
      <c r="O42" s="7">
        <f t="shared" si="22"/>
        <v>1624180632.5605981</v>
      </c>
      <c r="P42" s="7">
        <f t="shared" si="22"/>
        <v>1705389664.1886306</v>
      </c>
      <c r="Q42" s="7">
        <f t="shared" si="22"/>
        <v>1790659147.3980672</v>
      </c>
      <c r="R42" s="7">
        <f t="shared" si="22"/>
        <v>1880192104.767964</v>
      </c>
      <c r="S42" s="7">
        <f t="shared" si="22"/>
        <v>1974201710.0063615</v>
      </c>
      <c r="T42" s="7">
        <f t="shared" si="22"/>
        <v>2072911795.5066793</v>
      </c>
      <c r="U42" s="7">
        <f t="shared" si="22"/>
        <v>2176557385.282013</v>
      </c>
      <c r="V42" s="7">
        <f t="shared" si="22"/>
        <v>2285385254.5461197</v>
      </c>
      <c r="W42" s="7">
        <f t="shared" si="22"/>
        <v>2399654517.273419</v>
      </c>
      <c r="X42" s="7">
        <f t="shared" si="22"/>
        <v>2519637243.137095</v>
      </c>
      <c r="Y42" s="7">
        <f t="shared" si="22"/>
        <v>335205918.8036012</v>
      </c>
      <c r="Z42" s="7">
        <f t="shared" si="22"/>
        <v>0</v>
      </c>
    </row>
    <row r="43" spans="2:26" ht="15">
      <c r="B43" s="8" t="s">
        <v>46</v>
      </c>
      <c r="C43" s="8"/>
      <c r="D43" s="8"/>
      <c r="E43" s="15"/>
      <c r="F43" s="15">
        <f aca="true" t="shared" si="23" ref="F43:Z43">F42/exrate</f>
        <v>17638019.999999996</v>
      </c>
      <c r="G43" s="15">
        <f t="shared" si="23"/>
        <v>19207803.779999994</v>
      </c>
      <c r="H43" s="15">
        <f t="shared" si="23"/>
        <v>20917298.31641999</v>
      </c>
      <c r="I43" s="15">
        <f t="shared" si="23"/>
        <v>22778937.866581343</v>
      </c>
      <c r="J43" s="15">
        <f t="shared" si="23"/>
        <v>24806263.336707134</v>
      </c>
      <c r="K43" s="15">
        <f t="shared" si="23"/>
        <v>44367493.83752661</v>
      </c>
      <c r="L43" s="15">
        <f t="shared" si="23"/>
        <v>18221146.717045214</v>
      </c>
      <c r="M43" s="15">
        <f t="shared" si="23"/>
        <v>19132204.05289748</v>
      </c>
      <c r="N43" s="15">
        <f t="shared" si="23"/>
        <v>20088814.25554239</v>
      </c>
      <c r="O43" s="15">
        <f t="shared" si="23"/>
        <v>21093254.968319457</v>
      </c>
      <c r="P43" s="15">
        <f t="shared" si="23"/>
        <v>22147917.716735464</v>
      </c>
      <c r="Q43" s="15">
        <f t="shared" si="23"/>
        <v>23255313.602572303</v>
      </c>
      <c r="R43" s="15">
        <f t="shared" si="23"/>
        <v>24418079.28270083</v>
      </c>
      <c r="S43" s="15">
        <f t="shared" si="23"/>
        <v>25638983.246835865</v>
      </c>
      <c r="T43" s="15">
        <f t="shared" si="23"/>
        <v>26920932.409177653</v>
      </c>
      <c r="U43" s="15">
        <f t="shared" si="23"/>
        <v>28266979.029636532</v>
      </c>
      <c r="V43" s="15">
        <f t="shared" si="23"/>
        <v>29680327.981118437</v>
      </c>
      <c r="W43" s="15">
        <f t="shared" si="23"/>
        <v>31164344.38017427</v>
      </c>
      <c r="X43" s="15">
        <f t="shared" si="23"/>
        <v>32722561.599183053</v>
      </c>
      <c r="Y43" s="15">
        <f t="shared" si="23"/>
        <v>4353323.62082599</v>
      </c>
      <c r="Z43" s="15">
        <f t="shared" si="23"/>
        <v>0</v>
      </c>
    </row>
    <row r="44" spans="2:26" ht="15">
      <c r="B44" t="s">
        <v>47</v>
      </c>
      <c r="E44" s="7"/>
      <c r="F44" s="7">
        <f aca="true" t="shared" si="24" ref="F44:Z44">F40+F42</f>
        <v>7869263653.482264</v>
      </c>
      <c r="G44" s="7">
        <f t="shared" si="24"/>
        <v>8569628118.642184</v>
      </c>
      <c r="H44" s="7">
        <f t="shared" si="24"/>
        <v>9332325021.201338</v>
      </c>
      <c r="I44" s="7">
        <f t="shared" si="24"/>
        <v>10162901948.088255</v>
      </c>
      <c r="J44" s="7">
        <f t="shared" si="24"/>
        <v>11067400221.468113</v>
      </c>
      <c r="K44" s="7">
        <f t="shared" si="24"/>
        <v>13912163027.27973</v>
      </c>
      <c r="L44" s="7">
        <f t="shared" si="24"/>
        <v>12448618397.196186</v>
      </c>
      <c r="M44" s="7">
        <f t="shared" si="24"/>
        <v>13095980115.160011</v>
      </c>
      <c r="N44" s="7">
        <f t="shared" si="24"/>
        <v>13775709919.022028</v>
      </c>
      <c r="O44" s="7">
        <f t="shared" si="24"/>
        <v>14489426213.07714</v>
      </c>
      <c r="P44" s="7">
        <f t="shared" si="24"/>
        <v>15238828321.835016</v>
      </c>
      <c r="Q44" s="7">
        <f t="shared" si="24"/>
        <v>16025700536.03079</v>
      </c>
      <c r="R44" s="7">
        <f t="shared" si="24"/>
        <v>16851916360.936335</v>
      </c>
      <c r="S44" s="7">
        <f t="shared" si="24"/>
        <v>17719442977.08717</v>
      </c>
      <c r="T44" s="7">
        <f t="shared" si="24"/>
        <v>18630345924.04554</v>
      </c>
      <c r="U44" s="7">
        <f t="shared" si="24"/>
        <v>19586794018.35183</v>
      </c>
      <c r="V44" s="7">
        <f t="shared" si="24"/>
        <v>20591064517.373447</v>
      </c>
      <c r="W44" s="7">
        <f t="shared" si="24"/>
        <v>21645548541.346127</v>
      </c>
      <c r="X44" s="7">
        <f t="shared" si="24"/>
        <v>22752756766.517456</v>
      </c>
      <c r="Y44" s="7">
        <f t="shared" si="24"/>
        <v>20699663328.8036</v>
      </c>
      <c r="Z44" s="7">
        <f t="shared" si="24"/>
        <v>20364457410</v>
      </c>
    </row>
    <row r="45" spans="2:26" ht="15">
      <c r="B45" t="s">
        <v>48</v>
      </c>
      <c r="E45" s="7"/>
      <c r="F45" s="7">
        <f aca="true" t="shared" si="25" ref="F45:Z45">F41+F43</f>
        <v>102198229.26600343</v>
      </c>
      <c r="G45" s="7">
        <f t="shared" si="25"/>
        <v>111293871.67067772</v>
      </c>
      <c r="H45" s="7">
        <f t="shared" si="25"/>
        <v>121199026.24936803</v>
      </c>
      <c r="I45" s="7">
        <f t="shared" si="25"/>
        <v>131985739.58556175</v>
      </c>
      <c r="J45" s="7">
        <f t="shared" si="25"/>
        <v>143732470.4086768</v>
      </c>
      <c r="K45" s="7">
        <f t="shared" si="25"/>
        <v>180677441.91272378</v>
      </c>
      <c r="L45" s="7">
        <f t="shared" si="25"/>
        <v>161670368.79475567</v>
      </c>
      <c r="M45" s="7">
        <f t="shared" si="25"/>
        <v>170077663.8332469</v>
      </c>
      <c r="N45" s="7">
        <f t="shared" si="25"/>
        <v>178905323.6236627</v>
      </c>
      <c r="O45" s="7">
        <f t="shared" si="25"/>
        <v>188174366.40359923</v>
      </c>
      <c r="P45" s="7">
        <f t="shared" si="25"/>
        <v>197906861.32253265</v>
      </c>
      <c r="Q45" s="7">
        <f t="shared" si="25"/>
        <v>208125980.98741284</v>
      </c>
      <c r="R45" s="7">
        <f t="shared" si="25"/>
        <v>218856056.63553682</v>
      </c>
      <c r="S45" s="7">
        <f t="shared" si="25"/>
        <v>230122636.06606713</v>
      </c>
      <c r="T45" s="7">
        <f t="shared" si="25"/>
        <v>241952544.4681239</v>
      </c>
      <c r="U45" s="7">
        <f t="shared" si="25"/>
        <v>254373948.2902835</v>
      </c>
      <c r="V45" s="7">
        <f t="shared" si="25"/>
        <v>267416422.30355126</v>
      </c>
      <c r="W45" s="7">
        <f t="shared" si="25"/>
        <v>281111020.01748216</v>
      </c>
      <c r="X45" s="7">
        <f t="shared" si="25"/>
        <v>295490347.6171098</v>
      </c>
      <c r="Y45" s="7">
        <f t="shared" si="25"/>
        <v>268826796.4779689</v>
      </c>
      <c r="Z45" s="7">
        <f t="shared" si="25"/>
        <v>264473472.85714287</v>
      </c>
    </row>
    <row r="46" spans="5:26" ht="15">
      <c r="E46" s="7"/>
      <c r="F46" s="7"/>
      <c r="G46" s="7"/>
      <c r="H46" s="7"/>
      <c r="I46" s="7"/>
      <c r="J46" s="7"/>
      <c r="K46" s="7"/>
      <c r="L46" s="7"/>
      <c r="M46" s="7"/>
      <c r="N46" s="7"/>
      <c r="O46" s="7"/>
      <c r="P46" s="7"/>
      <c r="Q46" s="7"/>
      <c r="R46" s="7"/>
      <c r="S46" s="7"/>
      <c r="T46" s="7"/>
      <c r="U46" s="7"/>
      <c r="V46" s="7"/>
      <c r="W46" s="7"/>
      <c r="X46" s="7"/>
      <c r="Y46" s="7"/>
      <c r="Z46" s="7"/>
    </row>
    <row r="47" spans="2:26" ht="15">
      <c r="B47" t="s">
        <v>52</v>
      </c>
      <c r="E47" s="7"/>
      <c r="F47" s="7">
        <f>F40-F22</f>
        <v>0</v>
      </c>
      <c r="G47" s="7">
        <f aca="true" t="shared" si="26" ref="G47:Q47">G40-G22</f>
        <v>0</v>
      </c>
      <c r="H47" s="7">
        <f t="shared" si="26"/>
        <v>0</v>
      </c>
      <c r="I47" s="7">
        <f t="shared" si="26"/>
        <v>0</v>
      </c>
      <c r="J47" s="7">
        <f t="shared" si="26"/>
        <v>0</v>
      </c>
      <c r="K47" s="7">
        <f t="shared" si="26"/>
        <v>523546760.184309</v>
      </c>
      <c r="L47" s="7">
        <f t="shared" si="26"/>
        <v>574654896.2975388</v>
      </c>
      <c r="M47" s="7">
        <f t="shared" si="26"/>
        <v>628318439.2164326</v>
      </c>
      <c r="N47" s="7">
        <f>N40-N22</f>
        <v>684665159.2812672</v>
      </c>
      <c r="O47" s="7">
        <f t="shared" si="26"/>
        <v>743829215.3493462</v>
      </c>
      <c r="P47" s="7">
        <f t="shared" si="26"/>
        <v>805951474.2208252</v>
      </c>
      <c r="Q47" s="7">
        <f t="shared" si="26"/>
        <v>871179846.0358849</v>
      </c>
      <c r="R47" s="7">
        <f>R40-R22</f>
        <v>939669636.4416904</v>
      </c>
      <c r="S47" s="7">
        <f aca="true" t="shared" si="27" ref="S47:Z47">S40-S22</f>
        <v>1011583916.367794</v>
      </c>
      <c r="T47" s="7">
        <f t="shared" si="27"/>
        <v>1087093910.2901936</v>
      </c>
      <c r="U47" s="7">
        <f t="shared" si="27"/>
        <v>1166379403.9087162</v>
      </c>
      <c r="V47" s="7">
        <f t="shared" si="27"/>
        <v>1249629172.2081718</v>
      </c>
      <c r="W47" s="7">
        <f t="shared" si="27"/>
        <v>1337041428.922596</v>
      </c>
      <c r="X47" s="7">
        <f t="shared" si="27"/>
        <v>1428824298.4727402</v>
      </c>
      <c r="Y47" s="7">
        <f t="shared" si="27"/>
        <v>619947423.8470001</v>
      </c>
      <c r="Z47" s="7">
        <f t="shared" si="27"/>
        <v>0</v>
      </c>
    </row>
    <row r="48" spans="2:26" ht="15">
      <c r="B48" t="s">
        <v>53</v>
      </c>
      <c r="E48" s="7"/>
      <c r="F48" s="7">
        <f aca="true" t="shared" si="28" ref="F48:Z48">F47/exrate</f>
        <v>0</v>
      </c>
      <c r="G48" s="7">
        <f t="shared" si="28"/>
        <v>0</v>
      </c>
      <c r="H48" s="7">
        <f t="shared" si="28"/>
        <v>0</v>
      </c>
      <c r="I48" s="7">
        <f t="shared" si="28"/>
        <v>0</v>
      </c>
      <c r="J48" s="7">
        <f t="shared" si="28"/>
        <v>0</v>
      </c>
      <c r="K48" s="7">
        <f t="shared" si="28"/>
        <v>6799308.573822195</v>
      </c>
      <c r="L48" s="7">
        <f t="shared" si="28"/>
        <v>7463050.601266737</v>
      </c>
      <c r="M48" s="7">
        <f t="shared" si="28"/>
        <v>8159979.73008354</v>
      </c>
      <c r="N48" s="7">
        <f t="shared" si="28"/>
        <v>8891755.315341132</v>
      </c>
      <c r="O48" s="7">
        <f t="shared" si="28"/>
        <v>9660119.679861639</v>
      </c>
      <c r="P48" s="7">
        <f t="shared" si="28"/>
        <v>10466902.26260812</v>
      </c>
      <c r="Q48" s="7">
        <f t="shared" si="28"/>
        <v>11314023.974492012</v>
      </c>
      <c r="R48" s="7">
        <f t="shared" si="28"/>
        <v>12203501.771970006</v>
      </c>
      <c r="S48" s="7">
        <f t="shared" si="28"/>
        <v>13137453.459322</v>
      </c>
      <c r="T48" s="7">
        <f t="shared" si="28"/>
        <v>14118102.731041474</v>
      </c>
      <c r="U48" s="7">
        <f t="shared" si="28"/>
        <v>15147784.466346964</v>
      </c>
      <c r="V48" s="7">
        <f t="shared" si="28"/>
        <v>16228950.288417816</v>
      </c>
      <c r="W48" s="7">
        <f t="shared" si="28"/>
        <v>17364174.401592154</v>
      </c>
      <c r="X48" s="7">
        <f t="shared" si="28"/>
        <v>18556159.720425196</v>
      </c>
      <c r="Y48" s="7">
        <f t="shared" si="28"/>
        <v>8051265.244766235</v>
      </c>
      <c r="Z48" s="7">
        <f t="shared" si="28"/>
        <v>0</v>
      </c>
    </row>
    <row r="49" spans="2:26" ht="15">
      <c r="B49" t="s">
        <v>45</v>
      </c>
      <c r="E49" s="7"/>
      <c r="F49" s="7">
        <f>F42-F24</f>
        <v>0</v>
      </c>
      <c r="G49" s="7">
        <f aca="true" t="shared" si="29" ref="G49:Q49">G42-G24</f>
        <v>0</v>
      </c>
      <c r="H49" s="7">
        <f t="shared" si="29"/>
        <v>0</v>
      </c>
      <c r="I49" s="7">
        <f t="shared" si="29"/>
        <v>0</v>
      </c>
      <c r="J49" s="7">
        <f t="shared" si="29"/>
        <v>0</v>
      </c>
      <c r="K49" s="7">
        <f t="shared" si="29"/>
        <v>1336217425.9166496</v>
      </c>
      <c r="L49" s="7">
        <f t="shared" si="29"/>
        <v>130440272.52996016</v>
      </c>
      <c r="M49" s="7">
        <f t="shared" si="29"/>
        <v>136962286.15645647</v>
      </c>
      <c r="N49" s="7">
        <f t="shared" si="29"/>
        <v>143810400.46427917</v>
      </c>
      <c r="O49" s="7">
        <f t="shared" si="29"/>
        <v>151000920.48749232</v>
      </c>
      <c r="P49" s="7">
        <f t="shared" si="29"/>
        <v>158550966.51187325</v>
      </c>
      <c r="Q49" s="7">
        <f t="shared" si="29"/>
        <v>166478514.83746243</v>
      </c>
      <c r="R49" s="7">
        <f>R42-R24</f>
        <v>174802440.5793333</v>
      </c>
      <c r="S49" s="7">
        <f aca="true" t="shared" si="30" ref="S49:Z49">S42-S24</f>
        <v>183542562.60830092</v>
      </c>
      <c r="T49" s="7">
        <f t="shared" si="30"/>
        <v>192719690.7387154</v>
      </c>
      <c r="U49" s="7">
        <f t="shared" si="30"/>
        <v>202355675.27564478</v>
      </c>
      <c r="V49" s="7">
        <f t="shared" si="30"/>
        <v>212473459.0394404</v>
      </c>
      <c r="W49" s="7">
        <f t="shared" si="30"/>
        <v>223097131.99140596</v>
      </c>
      <c r="X49" s="7">
        <f t="shared" si="30"/>
        <v>234251988.59097528</v>
      </c>
      <c r="Y49" s="7">
        <f t="shared" si="30"/>
        <v>-2064448598.4698176</v>
      </c>
      <c r="Z49" s="7">
        <f t="shared" si="30"/>
        <v>-1582255137.2581718</v>
      </c>
    </row>
    <row r="50" spans="2:26" ht="15">
      <c r="B50" s="8" t="s">
        <v>46</v>
      </c>
      <c r="C50" s="8"/>
      <c r="D50" s="8"/>
      <c r="E50" s="8"/>
      <c r="F50" s="15">
        <f aca="true" t="shared" si="31" ref="F50:Z50">F49/exrate</f>
        <v>0</v>
      </c>
      <c r="G50" s="15">
        <f t="shared" si="31"/>
        <v>0</v>
      </c>
      <c r="H50" s="15">
        <f t="shared" si="31"/>
        <v>0</v>
      </c>
      <c r="I50" s="15">
        <f t="shared" si="31"/>
        <v>0</v>
      </c>
      <c r="J50" s="15">
        <f t="shared" si="31"/>
        <v>0</v>
      </c>
      <c r="K50" s="15">
        <f t="shared" si="31"/>
        <v>17353473.063852593</v>
      </c>
      <c r="L50" s="15">
        <f t="shared" si="31"/>
        <v>1694029.5133761058</v>
      </c>
      <c r="M50" s="15">
        <f t="shared" si="31"/>
        <v>1778730.9890448893</v>
      </c>
      <c r="N50" s="15">
        <f t="shared" si="31"/>
        <v>1867667.5384971322</v>
      </c>
      <c r="O50" s="15">
        <f t="shared" si="31"/>
        <v>1961050.915421978</v>
      </c>
      <c r="P50" s="15">
        <f t="shared" si="31"/>
        <v>2059103.461193159</v>
      </c>
      <c r="Q50" s="15">
        <f t="shared" si="31"/>
        <v>2162058.6342527587</v>
      </c>
      <c r="R50" s="15">
        <f t="shared" si="31"/>
        <v>2270161.5659653675</v>
      </c>
      <c r="S50" s="15">
        <f t="shared" si="31"/>
        <v>2383669.6442636484</v>
      </c>
      <c r="T50" s="15">
        <f t="shared" si="31"/>
        <v>2502853.1264768234</v>
      </c>
      <c r="U50" s="15">
        <f t="shared" si="31"/>
        <v>2627995.782800582</v>
      </c>
      <c r="V50" s="15">
        <f t="shared" si="31"/>
        <v>2759395.5719407843</v>
      </c>
      <c r="W50" s="15">
        <f t="shared" si="31"/>
        <v>2897365.3505377397</v>
      </c>
      <c r="X50" s="15">
        <f t="shared" si="31"/>
        <v>3042233.618064614</v>
      </c>
      <c r="Y50" s="15">
        <f t="shared" si="31"/>
        <v>-26811020.75934828</v>
      </c>
      <c r="Z50" s="15">
        <f t="shared" si="31"/>
        <v>-20548768.016339894</v>
      </c>
    </row>
    <row r="51" spans="2:26" ht="15">
      <c r="B51" t="s">
        <v>33</v>
      </c>
      <c r="E51" s="7">
        <f>E40-E22</f>
        <v>0</v>
      </c>
      <c r="F51" s="7">
        <f aca="true" t="shared" si="32" ref="F51:Z51">F44-F26</f>
        <v>0</v>
      </c>
      <c r="G51" s="7">
        <f t="shared" si="32"/>
        <v>0</v>
      </c>
      <c r="H51" s="7">
        <f t="shared" si="32"/>
        <v>0</v>
      </c>
      <c r="I51" s="7">
        <f t="shared" si="32"/>
        <v>0</v>
      </c>
      <c r="J51" s="7">
        <f t="shared" si="32"/>
        <v>0</v>
      </c>
      <c r="K51" s="7">
        <f t="shared" si="32"/>
        <v>1859764186.1009598</v>
      </c>
      <c r="L51" s="7">
        <f t="shared" si="32"/>
        <v>705095168.8274975</v>
      </c>
      <c r="M51" s="7">
        <f t="shared" si="32"/>
        <v>765280725.3728905</v>
      </c>
      <c r="N51" s="7">
        <f t="shared" si="32"/>
        <v>828475559.7455463</v>
      </c>
      <c r="O51" s="7">
        <f t="shared" si="32"/>
        <v>894830135.8368378</v>
      </c>
      <c r="P51" s="7">
        <f>P44-P26</f>
        <v>964502440.7326984</v>
      </c>
      <c r="Q51" s="7">
        <f t="shared" si="32"/>
        <v>1037658360.8733482</v>
      </c>
      <c r="R51" s="7">
        <f t="shared" si="32"/>
        <v>1114472077.0210228</v>
      </c>
      <c r="S51" s="7">
        <f t="shared" si="32"/>
        <v>1195126478.9760952</v>
      </c>
      <c r="T51" s="7">
        <f t="shared" si="32"/>
        <v>1279813601.0289078</v>
      </c>
      <c r="U51" s="7">
        <f t="shared" si="32"/>
        <v>1368735079.1843605</v>
      </c>
      <c r="V51" s="7">
        <f t="shared" si="32"/>
        <v>1462102631.247612</v>
      </c>
      <c r="W51" s="7">
        <f t="shared" si="32"/>
        <v>1560138560.9140015</v>
      </c>
      <c r="X51" s="7">
        <f t="shared" si="32"/>
        <v>1663076287.063717</v>
      </c>
      <c r="Y51" s="7">
        <f t="shared" si="32"/>
        <v>-1444501174.622818</v>
      </c>
      <c r="Z51" s="7">
        <f t="shared" si="32"/>
        <v>-1582255137.258171</v>
      </c>
    </row>
    <row r="52" spans="2:26" ht="15">
      <c r="B52" t="s">
        <v>35</v>
      </c>
      <c r="E52" s="7">
        <f aca="true" t="shared" si="33" ref="E52:Z52">E51/exrate</f>
        <v>0</v>
      </c>
      <c r="F52" s="7">
        <f t="shared" si="33"/>
        <v>0</v>
      </c>
      <c r="G52" s="7">
        <f t="shared" si="33"/>
        <v>0</v>
      </c>
      <c r="H52" s="7">
        <f t="shared" si="33"/>
        <v>0</v>
      </c>
      <c r="I52" s="7">
        <f t="shared" si="33"/>
        <v>0</v>
      </c>
      <c r="J52" s="7">
        <f t="shared" si="33"/>
        <v>0</v>
      </c>
      <c r="K52" s="7">
        <f t="shared" si="33"/>
        <v>24152781.6376748</v>
      </c>
      <c r="L52" s="7">
        <f t="shared" si="33"/>
        <v>9157080.114642825</v>
      </c>
      <c r="M52" s="7">
        <f t="shared" si="33"/>
        <v>9938710.719128449</v>
      </c>
      <c r="N52" s="7">
        <f t="shared" si="33"/>
        <v>10759422.853838265</v>
      </c>
      <c r="O52" s="7">
        <f t="shared" si="33"/>
        <v>11621170.595283607</v>
      </c>
      <c r="P52" s="7">
        <f t="shared" si="33"/>
        <v>12526005.723801278</v>
      </c>
      <c r="Q52" s="7">
        <f t="shared" si="33"/>
        <v>13476082.608744781</v>
      </c>
      <c r="R52" s="7">
        <f t="shared" si="33"/>
        <v>14473663.33793536</v>
      </c>
      <c r="S52" s="7">
        <f t="shared" si="33"/>
        <v>15521123.103585651</v>
      </c>
      <c r="T52" s="7">
        <f t="shared" si="33"/>
        <v>16620955.857518284</v>
      </c>
      <c r="U52" s="7">
        <f t="shared" si="33"/>
        <v>17775780.249147538</v>
      </c>
      <c r="V52" s="7">
        <f t="shared" si="33"/>
        <v>18988345.860358596</v>
      </c>
      <c r="W52" s="7">
        <f t="shared" si="33"/>
        <v>20261539.75212989</v>
      </c>
      <c r="X52" s="7">
        <f t="shared" si="33"/>
        <v>21598393.33848983</v>
      </c>
      <c r="Y52" s="7">
        <f t="shared" si="33"/>
        <v>-18759755.514582053</v>
      </c>
      <c r="Z52" s="7">
        <f t="shared" si="33"/>
        <v>-20548768.016339883</v>
      </c>
    </row>
    <row r="53" spans="11:22" ht="15">
      <c r="K53" s="7"/>
      <c r="L53" s="7"/>
      <c r="M53" s="7"/>
      <c r="N53" s="7"/>
      <c r="O53" s="7"/>
      <c r="P53" s="7"/>
      <c r="Q53" s="7"/>
      <c r="R53" s="7"/>
      <c r="S53" s="7"/>
      <c r="T53" s="7"/>
      <c r="U53" s="7"/>
      <c r="V53" s="7"/>
    </row>
    <row r="54" spans="2:22" ht="15">
      <c r="B54" s="12" t="s">
        <v>36</v>
      </c>
      <c r="K54" s="7"/>
      <c r="L54" s="7"/>
      <c r="M54" s="7"/>
      <c r="N54" s="7"/>
      <c r="O54" s="7"/>
      <c r="P54" s="7"/>
      <c r="Q54" s="7"/>
      <c r="R54" s="7"/>
      <c r="S54" s="7"/>
      <c r="T54" s="7"/>
      <c r="U54" s="7"/>
      <c r="V54" s="7"/>
    </row>
    <row r="55" spans="2:26" ht="15">
      <c r="B55" t="s">
        <v>42</v>
      </c>
      <c r="F55" s="7">
        <f aca="true" t="shared" si="34" ref="F55:Z55">(H15*0.5+G15*0.5)*ConstructC*local_investment</f>
        <v>2039157688.5400634</v>
      </c>
      <c r="G55" s="7">
        <f t="shared" si="34"/>
        <v>2220642722.820128</v>
      </c>
      <c r="H55" s="7">
        <f t="shared" si="34"/>
        <v>2418279925.15112</v>
      </c>
      <c r="I55" s="7">
        <f t="shared" si="34"/>
        <v>2633506838.48957</v>
      </c>
      <c r="J55" s="7">
        <f t="shared" si="34"/>
        <v>2212760632.008578</v>
      </c>
      <c r="K55" s="7">
        <f t="shared" si="34"/>
        <v>1721811597.3954527</v>
      </c>
      <c r="L55" s="7">
        <f t="shared" si="34"/>
        <v>1807902177.2652287</v>
      </c>
      <c r="M55" s="7">
        <f t="shared" si="34"/>
        <v>1898297286.12849</v>
      </c>
      <c r="N55" s="7">
        <f t="shared" si="34"/>
        <v>1993212150.4349098</v>
      </c>
      <c r="O55" s="7">
        <f t="shared" si="34"/>
        <v>2092872757.9566588</v>
      </c>
      <c r="P55" s="7">
        <f t="shared" si="34"/>
        <v>2197516395.8544955</v>
      </c>
      <c r="Q55" s="7">
        <f t="shared" si="34"/>
        <v>2307392215.6472163</v>
      </c>
      <c r="R55" s="7">
        <f t="shared" si="34"/>
        <v>2422761826.4295764</v>
      </c>
      <c r="S55" s="7">
        <f t="shared" si="34"/>
        <v>2543899917.751059</v>
      </c>
      <c r="T55" s="7">
        <f t="shared" si="34"/>
        <v>2671094913.6386113</v>
      </c>
      <c r="U55" s="7">
        <f t="shared" si="34"/>
        <v>2804649659.3205366</v>
      </c>
      <c r="V55" s="7">
        <f t="shared" si="34"/>
        <v>2944882142.2865677</v>
      </c>
      <c r="W55" s="7">
        <f t="shared" si="34"/>
        <v>3092126249.400895</v>
      </c>
      <c r="X55" s="7">
        <f t="shared" si="34"/>
        <v>2628060371.99085</v>
      </c>
      <c r="Y55" s="7">
        <f t="shared" si="34"/>
        <v>1044288390.5903934</v>
      </c>
      <c r="Z55" s="7">
        <f t="shared" si="34"/>
        <v>0</v>
      </c>
    </row>
    <row r="56" spans="2:26" ht="15">
      <c r="B56" t="s">
        <v>43</v>
      </c>
      <c r="F56" s="15">
        <f aca="true" t="shared" si="35" ref="F56:Z56">(H33*0.5+G33*0.5)*ConstructC*local_investment</f>
        <v>2039157688.5400634</v>
      </c>
      <c r="G56" s="15">
        <f t="shared" si="35"/>
        <v>2220642722.820128</v>
      </c>
      <c r="H56" s="15">
        <f t="shared" si="35"/>
        <v>2418279925.15112</v>
      </c>
      <c r="I56" s="15">
        <f t="shared" si="35"/>
        <v>3515410339.594559</v>
      </c>
      <c r="J56" s="15">
        <f t="shared" si="35"/>
        <v>3180754712.9833403</v>
      </c>
      <c r="K56" s="15">
        <f t="shared" si="35"/>
        <v>1898297286.1284878</v>
      </c>
      <c r="L56" s="15">
        <f t="shared" si="35"/>
        <v>1993212150.434914</v>
      </c>
      <c r="M56" s="15">
        <f t="shared" si="35"/>
        <v>2092872757.9566588</v>
      </c>
      <c r="N56" s="15">
        <f t="shared" si="35"/>
        <v>2197516395.854491</v>
      </c>
      <c r="O56" s="15">
        <f t="shared" si="35"/>
        <v>2307392215.6472206</v>
      </c>
      <c r="P56" s="15">
        <f t="shared" si="35"/>
        <v>2422761826.4295807</v>
      </c>
      <c r="Q56" s="15">
        <f t="shared" si="35"/>
        <v>2543899917.751055</v>
      </c>
      <c r="R56" s="15">
        <f t="shared" si="35"/>
        <v>2671094913.638607</v>
      </c>
      <c r="S56" s="15">
        <f t="shared" si="35"/>
        <v>2804649659.3205366</v>
      </c>
      <c r="T56" s="15">
        <f t="shared" si="35"/>
        <v>2944882142.2865677</v>
      </c>
      <c r="U56" s="15">
        <f t="shared" si="35"/>
        <v>3092126249.400895</v>
      </c>
      <c r="V56" s="15">
        <f t="shared" si="35"/>
        <v>3246732561.8709393</v>
      </c>
      <c r="W56" s="15">
        <f t="shared" si="35"/>
        <v>1884196486.8808596</v>
      </c>
      <c r="X56" s="15">
        <f t="shared" si="35"/>
        <v>221235906.41037682</v>
      </c>
      <c r="Y56" s="15">
        <f t="shared" si="35"/>
        <v>0</v>
      </c>
      <c r="Z56" s="15">
        <f t="shared" si="35"/>
        <v>0</v>
      </c>
    </row>
    <row r="57" spans="2:26" ht="15">
      <c r="B57" t="s">
        <v>44</v>
      </c>
      <c r="F57" s="7">
        <f>F56-F55</f>
        <v>0</v>
      </c>
      <c r="G57" s="7">
        <f aca="true" t="shared" si="36" ref="G57:P57">G56-G55</f>
        <v>0</v>
      </c>
      <c r="H57" s="7">
        <f t="shared" si="36"/>
        <v>0</v>
      </c>
      <c r="I57" s="7">
        <f t="shared" si="36"/>
        <v>881903501.104989</v>
      </c>
      <c r="J57" s="7">
        <f t="shared" si="36"/>
        <v>967994080.9747624</v>
      </c>
      <c r="K57" s="7">
        <f t="shared" si="36"/>
        <v>176485688.7330351</v>
      </c>
      <c r="L57" s="7">
        <f t="shared" si="36"/>
        <v>185309973.16968536</v>
      </c>
      <c r="M57" s="7">
        <f t="shared" si="36"/>
        <v>194575471.82816887</v>
      </c>
      <c r="N57" s="7">
        <f t="shared" si="36"/>
        <v>204304245.4195814</v>
      </c>
      <c r="O57" s="7">
        <f t="shared" si="36"/>
        <v>214519457.69056177</v>
      </c>
      <c r="P57" s="7">
        <f t="shared" si="36"/>
        <v>225245430.57508516</v>
      </c>
      <c r="Q57" s="7">
        <f>Q56-Q55</f>
        <v>236507702.10383844</v>
      </c>
      <c r="R57" s="7">
        <f aca="true" t="shared" si="37" ref="R57:Z57">R56-R55</f>
        <v>248333087.20903063</v>
      </c>
      <c r="S57" s="7">
        <f t="shared" si="37"/>
        <v>260749741.56947756</v>
      </c>
      <c r="T57" s="7">
        <f t="shared" si="37"/>
        <v>273787228.6479564</v>
      </c>
      <c r="U57" s="7">
        <f t="shared" si="37"/>
        <v>287476590.0803585</v>
      </c>
      <c r="V57" s="7">
        <f t="shared" si="37"/>
        <v>301850419.58437157</v>
      </c>
      <c r="W57" s="7">
        <f t="shared" si="37"/>
        <v>-1207929762.5200355</v>
      </c>
      <c r="X57" s="7">
        <f t="shared" si="37"/>
        <v>-2406824465.580473</v>
      </c>
      <c r="Y57" s="7">
        <f t="shared" si="37"/>
        <v>-1044288390.5903934</v>
      </c>
      <c r="Z57" s="7">
        <f t="shared" si="37"/>
        <v>0</v>
      </c>
    </row>
    <row r="58" ht="15">
      <c r="F58" s="11"/>
    </row>
    <row r="59" spans="5:26" ht="15">
      <c r="E59" s="297" t="s">
        <v>28</v>
      </c>
      <c r="F59" s="12">
        <v>0</v>
      </c>
      <c r="G59" s="12">
        <v>1</v>
      </c>
      <c r="H59" s="12">
        <v>2</v>
      </c>
      <c r="I59" s="12">
        <v>3</v>
      </c>
      <c r="J59" s="12">
        <v>4</v>
      </c>
      <c r="K59" s="12">
        <v>5</v>
      </c>
      <c r="L59" s="12">
        <v>6</v>
      </c>
      <c r="M59" s="12">
        <v>7</v>
      </c>
      <c r="N59" s="12">
        <v>8</v>
      </c>
      <c r="O59" s="12">
        <v>9</v>
      </c>
      <c r="P59" s="12">
        <v>10</v>
      </c>
      <c r="Q59" s="12">
        <v>11</v>
      </c>
      <c r="R59" s="12">
        <v>12</v>
      </c>
      <c r="S59" s="12">
        <v>13</v>
      </c>
      <c r="T59" s="12">
        <v>14</v>
      </c>
      <c r="U59" s="12">
        <v>15</v>
      </c>
      <c r="V59" s="12">
        <v>16</v>
      </c>
      <c r="W59" s="12">
        <v>17</v>
      </c>
      <c r="X59" s="12">
        <v>18</v>
      </c>
      <c r="Y59" s="12">
        <v>19</v>
      </c>
      <c r="Z59" s="12">
        <v>20</v>
      </c>
    </row>
    <row r="60" spans="5:26" ht="15">
      <c r="E60" s="298">
        <v>2010</v>
      </c>
      <c r="F60" s="298">
        <v>2011</v>
      </c>
      <c r="G60" s="298">
        <v>2012</v>
      </c>
      <c r="H60" s="298">
        <v>2013</v>
      </c>
      <c r="I60" s="298">
        <v>2014</v>
      </c>
      <c r="J60" s="298">
        <v>2015</v>
      </c>
      <c r="K60" s="298">
        <v>2016</v>
      </c>
      <c r="L60" s="298">
        <v>2017</v>
      </c>
      <c r="M60" s="298">
        <v>2018</v>
      </c>
      <c r="N60" s="298">
        <v>2019</v>
      </c>
      <c r="O60" s="298">
        <v>2020</v>
      </c>
      <c r="P60" s="298">
        <v>2021</v>
      </c>
      <c r="Q60" s="298">
        <v>2022</v>
      </c>
      <c r="R60" s="298">
        <v>2023</v>
      </c>
      <c r="S60" s="298">
        <v>2024</v>
      </c>
      <c r="T60" s="298">
        <v>2025</v>
      </c>
      <c r="U60" s="298">
        <v>2026</v>
      </c>
      <c r="V60" s="298">
        <v>2027</v>
      </c>
      <c r="W60" s="298">
        <v>2028</v>
      </c>
      <c r="X60" s="298">
        <v>2029</v>
      </c>
      <c r="Y60" s="298">
        <v>2030</v>
      </c>
      <c r="Z60" s="298">
        <v>2031</v>
      </c>
    </row>
    <row r="61" spans="2:26" ht="15">
      <c r="B61" t="s">
        <v>76</v>
      </c>
      <c r="F61" s="4">
        <f aca="true" t="shared" si="38" ref="F61:Z61">(F33-F15)*30</f>
        <v>0</v>
      </c>
      <c r="G61" s="4">
        <f t="shared" si="38"/>
        <v>0</v>
      </c>
      <c r="H61" s="4">
        <f t="shared" si="38"/>
        <v>0</v>
      </c>
      <c r="I61" s="4">
        <f t="shared" si="38"/>
        <v>0</v>
      </c>
      <c r="J61" s="4">
        <f t="shared" si="38"/>
        <v>0</v>
      </c>
      <c r="K61" s="4">
        <f t="shared" si="38"/>
        <v>694.1389225541036</v>
      </c>
      <c r="L61" s="4">
        <f t="shared" si="38"/>
        <v>67.76118053504433</v>
      </c>
      <c r="M61" s="4">
        <f t="shared" si="38"/>
        <v>71.14923956179553</v>
      </c>
      <c r="N61" s="4">
        <f t="shared" si="38"/>
        <v>74.70670153988522</v>
      </c>
      <c r="O61" s="4">
        <f t="shared" si="38"/>
        <v>78.44203661687914</v>
      </c>
      <c r="P61" s="4">
        <f t="shared" si="38"/>
        <v>82.36413844772642</v>
      </c>
      <c r="Q61" s="4">
        <f t="shared" si="38"/>
        <v>86.48234537011035</v>
      </c>
      <c r="R61" s="4">
        <f t="shared" si="38"/>
        <v>90.80646263861468</v>
      </c>
      <c r="S61" s="4">
        <f t="shared" si="38"/>
        <v>95.34678577054592</v>
      </c>
      <c r="T61" s="4">
        <f t="shared" si="38"/>
        <v>100.11412505907288</v>
      </c>
      <c r="U61" s="4">
        <f t="shared" si="38"/>
        <v>105.11983131202328</v>
      </c>
      <c r="V61" s="4">
        <f t="shared" si="38"/>
        <v>110.37582287763144</v>
      </c>
      <c r="W61" s="4">
        <f t="shared" si="38"/>
        <v>115.8946140215096</v>
      </c>
      <c r="X61" s="4">
        <f t="shared" si="38"/>
        <v>121.68934472258456</v>
      </c>
      <c r="Y61" s="4">
        <f t="shared" si="38"/>
        <v>-1072.4408303739312</v>
      </c>
      <c r="Z61" s="4">
        <f t="shared" si="38"/>
        <v>-821.9507206535957</v>
      </c>
    </row>
    <row r="62" spans="2:26" ht="15">
      <c r="B62" t="s">
        <v>77</v>
      </c>
      <c r="F62" s="4">
        <f aca="true" t="shared" si="39" ref="F62:Z62">F15*30</f>
        <v>705.5207999999999</v>
      </c>
      <c r="G62" s="4">
        <f t="shared" si="39"/>
        <v>768.3121511999997</v>
      </c>
      <c r="H62" s="4">
        <f t="shared" si="39"/>
        <v>836.6919326567995</v>
      </c>
      <c r="I62" s="4">
        <f t="shared" si="39"/>
        <v>911.1575146632538</v>
      </c>
      <c r="J62" s="4">
        <f t="shared" si="39"/>
        <v>992.2505334682853</v>
      </c>
      <c r="K62" s="4">
        <f t="shared" si="39"/>
        <v>1080.5608309469608</v>
      </c>
      <c r="L62" s="4">
        <f t="shared" si="39"/>
        <v>661.0846881467643</v>
      </c>
      <c r="M62" s="4">
        <f t="shared" si="39"/>
        <v>694.1389225541036</v>
      </c>
      <c r="N62" s="4">
        <f t="shared" si="39"/>
        <v>728.8458686818103</v>
      </c>
      <c r="O62" s="4">
        <f t="shared" si="39"/>
        <v>765.2881621158991</v>
      </c>
      <c r="P62" s="4">
        <f t="shared" si="39"/>
        <v>803.5525702216921</v>
      </c>
      <c r="Q62" s="4">
        <f t="shared" si="39"/>
        <v>843.7301987327817</v>
      </c>
      <c r="R62" s="4">
        <f t="shared" si="39"/>
        <v>885.9167086694185</v>
      </c>
      <c r="S62" s="4">
        <f t="shared" si="39"/>
        <v>930.2125441028886</v>
      </c>
      <c r="T62" s="4">
        <f t="shared" si="39"/>
        <v>976.7231713080332</v>
      </c>
      <c r="U62" s="4">
        <f t="shared" si="39"/>
        <v>1025.559329873438</v>
      </c>
      <c r="V62" s="4">
        <f t="shared" si="39"/>
        <v>1076.837296367106</v>
      </c>
      <c r="W62" s="4">
        <f t="shared" si="39"/>
        <v>1130.6791611854612</v>
      </c>
      <c r="X62" s="4">
        <f t="shared" si="39"/>
        <v>1187.2131192447375</v>
      </c>
      <c r="Y62" s="4">
        <f t="shared" si="39"/>
        <v>1246.5737752069708</v>
      </c>
      <c r="Z62" s="4">
        <f t="shared" si="39"/>
        <v>821.9507206535957</v>
      </c>
    </row>
    <row r="63" spans="2:26" ht="15">
      <c r="B63" t="s">
        <v>91</v>
      </c>
      <c r="F63" s="4">
        <f aca="true" t="shared" si="40" ref="F63:Z63">F33*30</f>
        <v>705.5207999999999</v>
      </c>
      <c r="G63" s="4">
        <f t="shared" si="40"/>
        <v>768.3121511999997</v>
      </c>
      <c r="H63" s="4">
        <f t="shared" si="40"/>
        <v>836.6919326567995</v>
      </c>
      <c r="I63" s="4">
        <f t="shared" si="40"/>
        <v>911.1575146632538</v>
      </c>
      <c r="J63" s="4">
        <f t="shared" si="40"/>
        <v>992.2505334682853</v>
      </c>
      <c r="K63" s="4">
        <f t="shared" si="40"/>
        <v>1774.6997535010644</v>
      </c>
      <c r="L63" s="4">
        <f t="shared" si="40"/>
        <v>728.8458686818086</v>
      </c>
      <c r="M63" s="4">
        <f t="shared" si="40"/>
        <v>765.2881621158991</v>
      </c>
      <c r="N63" s="4">
        <f t="shared" si="40"/>
        <v>803.5525702216955</v>
      </c>
      <c r="O63" s="4">
        <f t="shared" si="40"/>
        <v>843.7301987327783</v>
      </c>
      <c r="P63" s="4">
        <f t="shared" si="40"/>
        <v>885.9167086694185</v>
      </c>
      <c r="Q63" s="4">
        <f t="shared" si="40"/>
        <v>930.212544102892</v>
      </c>
      <c r="R63" s="4">
        <f t="shared" si="40"/>
        <v>976.7231713080332</v>
      </c>
      <c r="S63" s="4">
        <f t="shared" si="40"/>
        <v>1025.5593298734345</v>
      </c>
      <c r="T63" s="4">
        <f t="shared" si="40"/>
        <v>1076.837296367106</v>
      </c>
      <c r="U63" s="4">
        <f t="shared" si="40"/>
        <v>1130.6791611854612</v>
      </c>
      <c r="V63" s="4">
        <f t="shared" si="40"/>
        <v>1187.2131192447375</v>
      </c>
      <c r="W63" s="4">
        <f t="shared" si="40"/>
        <v>1246.5737752069708</v>
      </c>
      <c r="X63" s="4">
        <f t="shared" si="40"/>
        <v>1308.902463967322</v>
      </c>
      <c r="Y63" s="4">
        <f t="shared" si="40"/>
        <v>174.13294483303957</v>
      </c>
      <c r="Z63" s="4">
        <f t="shared" si="40"/>
        <v>0</v>
      </c>
    </row>
    <row r="64" spans="2:26" ht="15">
      <c r="B64" t="s">
        <v>78</v>
      </c>
      <c r="E64">
        <v>1900</v>
      </c>
      <c r="F64" s="4">
        <f>E64+F62</f>
        <v>2605.5208</v>
      </c>
      <c r="G64" s="4">
        <f>F64+G62</f>
        <v>3373.8329511999996</v>
      </c>
      <c r="H64" s="4">
        <f aca="true" t="shared" si="41" ref="H64:P64">G64+H62</f>
        <v>4210.524883856799</v>
      </c>
      <c r="I64" s="4">
        <f t="shared" si="41"/>
        <v>5121.682398520053</v>
      </c>
      <c r="J64" s="4">
        <f t="shared" si="41"/>
        <v>6113.932931988338</v>
      </c>
      <c r="K64" s="4">
        <f t="shared" si="41"/>
        <v>7194.493762935299</v>
      </c>
      <c r="L64" s="4">
        <f t="shared" si="41"/>
        <v>7855.578451082063</v>
      </c>
      <c r="M64" s="4">
        <f t="shared" si="41"/>
        <v>8549.717373636167</v>
      </c>
      <c r="N64" s="4">
        <f t="shared" si="41"/>
        <v>9278.563242317978</v>
      </c>
      <c r="O64" s="4">
        <f t="shared" si="41"/>
        <v>10043.851404433877</v>
      </c>
      <c r="P64" s="4">
        <f t="shared" si="41"/>
        <v>10847.40397465557</v>
      </c>
      <c r="Q64" s="4">
        <f>P64+Q62</f>
        <v>11691.134173388351</v>
      </c>
      <c r="R64" s="4">
        <f>Q64+R62</f>
        <v>12577.050882057769</v>
      </c>
      <c r="S64" s="4">
        <f>R64+S62</f>
        <v>13507.263426160658</v>
      </c>
      <c r="T64" s="4">
        <f>S64+T62</f>
        <v>14483.98659746869</v>
      </c>
      <c r="U64" s="4">
        <f>T64+U62</f>
        <v>15509.54592734213</v>
      </c>
      <c r="V64" s="4">
        <f>U64+V62</f>
        <v>16586.383223709236</v>
      </c>
      <c r="W64" s="4">
        <f>V64+W62</f>
        <v>17717.062384894696</v>
      </c>
      <c r="X64" s="4">
        <f>W64+X62</f>
        <v>18904.275504139434</v>
      </c>
      <c r="Y64" s="4">
        <f>X64+Y62</f>
        <v>20150.849279346403</v>
      </c>
      <c r="Z64" s="4">
        <f>Y64+Z62</f>
        <v>20972.8</v>
      </c>
    </row>
    <row r="65" spans="2:26" ht="15">
      <c r="B65" t="s">
        <v>94</v>
      </c>
      <c r="E65">
        <v>1900</v>
      </c>
      <c r="F65" s="4">
        <f>E65+F63</f>
        <v>2605.5208</v>
      </c>
      <c r="G65" s="4">
        <f>F65+G63</f>
        <v>3373.8329511999996</v>
      </c>
      <c r="H65" s="4">
        <f aca="true" t="shared" si="42" ref="H65:P65">G65+H63</f>
        <v>4210.524883856799</v>
      </c>
      <c r="I65" s="4">
        <f t="shared" si="42"/>
        <v>5121.682398520053</v>
      </c>
      <c r="J65" s="4">
        <f t="shared" si="42"/>
        <v>6113.932931988338</v>
      </c>
      <c r="K65" s="4">
        <f t="shared" si="42"/>
        <v>7888.632685489402</v>
      </c>
      <c r="L65" s="4">
        <f t="shared" si="42"/>
        <v>8617.478554171212</v>
      </c>
      <c r="M65" s="4">
        <f t="shared" si="42"/>
        <v>9382.766716287111</v>
      </c>
      <c r="N65" s="4">
        <f t="shared" si="42"/>
        <v>10186.319286508806</v>
      </c>
      <c r="O65" s="4">
        <f t="shared" si="42"/>
        <v>11030.049485241583</v>
      </c>
      <c r="P65" s="4">
        <f t="shared" si="42"/>
        <v>11915.966193911001</v>
      </c>
      <c r="Q65" s="4">
        <f>P65+Q63</f>
        <v>12846.178738013892</v>
      </c>
      <c r="R65" s="4">
        <f>Q65+R63</f>
        <v>13822.901909321925</v>
      </c>
      <c r="S65" s="4">
        <f>R65+S63</f>
        <v>14848.46123919536</v>
      </c>
      <c r="T65" s="4">
        <f>S65+T63</f>
        <v>15925.298535562466</v>
      </c>
      <c r="U65" s="4">
        <f>T65+U63</f>
        <v>17055.977696747927</v>
      </c>
      <c r="V65" s="4">
        <f>U65+V63</f>
        <v>18243.190815992664</v>
      </c>
      <c r="W65" s="4">
        <f>V65+W63</f>
        <v>19489.764591199637</v>
      </c>
      <c r="X65" s="4">
        <f>W65+X63</f>
        <v>20798.66705516696</v>
      </c>
      <c r="Y65" s="4">
        <f>X65+Y63</f>
        <v>20972.8</v>
      </c>
      <c r="Z65" s="4">
        <f>Y65+Z63</f>
        <v>20972.8</v>
      </c>
    </row>
    <row r="67" spans="2:26" ht="15">
      <c r="B67" t="s">
        <v>133</v>
      </c>
      <c r="K67" s="7">
        <f aca="true" t="shared" si="43" ref="K67:Z67">K47*EmpLondgingVA</f>
        <v>64639072.57290933</v>
      </c>
      <c r="L67" s="7">
        <f t="shared" si="43"/>
        <v>70949077.2764552</v>
      </c>
      <c r="M67" s="7">
        <f t="shared" si="43"/>
        <v>77574582.21517865</v>
      </c>
      <c r="N67" s="7">
        <f t="shared" si="43"/>
        <v>84531362.40083782</v>
      </c>
      <c r="O67" s="7">
        <f t="shared" si="43"/>
        <v>91835981.59578027</v>
      </c>
      <c r="P67" s="7">
        <f t="shared" si="43"/>
        <v>99505831.75046936</v>
      </c>
      <c r="Q67" s="7">
        <f t="shared" si="43"/>
        <v>107559174.41289373</v>
      </c>
      <c r="R67" s="7">
        <f t="shared" si="43"/>
        <v>116015184.20843844</v>
      </c>
      <c r="S67" s="7">
        <f t="shared" si="43"/>
        <v>124893994.49376135</v>
      </c>
      <c r="T67" s="7">
        <f t="shared" si="43"/>
        <v>134216745.29334925</v>
      </c>
      <c r="U67" s="7">
        <f t="shared" si="43"/>
        <v>144005633.63291696</v>
      </c>
      <c r="V67" s="7">
        <f t="shared" si="43"/>
        <v>154283966.38946387</v>
      </c>
      <c r="W67" s="7">
        <f t="shared" si="43"/>
        <v>165076215.78383762</v>
      </c>
      <c r="X67" s="7">
        <f t="shared" si="43"/>
        <v>176408077.6479299</v>
      </c>
      <c r="Y67" s="7">
        <f t="shared" si="43"/>
        <v>76541064.84648518</v>
      </c>
      <c r="Z67" s="7">
        <f t="shared" si="43"/>
        <v>0</v>
      </c>
    </row>
    <row r="68" spans="2:26" ht="15">
      <c r="B68" t="s">
        <v>136</v>
      </c>
      <c r="K68" s="7">
        <f aca="true" t="shared" si="44" ref="K68:Z68">K47*EmpTransVA</f>
        <v>6984204.581957832</v>
      </c>
      <c r="L68" s="7">
        <f t="shared" si="44"/>
        <v>7665995.981625139</v>
      </c>
      <c r="M68" s="7">
        <f t="shared" si="44"/>
        <v>8381876.951275845</v>
      </c>
      <c r="N68" s="7">
        <f t="shared" si="44"/>
        <v>9133551.969409034</v>
      </c>
      <c r="O68" s="7">
        <f t="shared" si="44"/>
        <v>9922810.73844892</v>
      </c>
      <c r="P68" s="7">
        <f t="shared" si="44"/>
        <v>10751532.445940746</v>
      </c>
      <c r="Q68" s="7">
        <f t="shared" si="44"/>
        <v>11621690.238807254</v>
      </c>
      <c r="R68" s="7">
        <f t="shared" si="44"/>
        <v>12535355.92131699</v>
      </c>
      <c r="S68" s="7">
        <f t="shared" si="44"/>
        <v>13494704.88795232</v>
      </c>
      <c r="T68" s="7">
        <f t="shared" si="44"/>
        <v>14502021.302919291</v>
      </c>
      <c r="U68" s="7">
        <f t="shared" si="44"/>
        <v>15559703.538634652</v>
      </c>
      <c r="V68" s="7">
        <f t="shared" si="44"/>
        <v>16670269.886135874</v>
      </c>
      <c r="W68" s="7">
        <f t="shared" si="44"/>
        <v>17836364.5510121</v>
      </c>
      <c r="X68" s="7">
        <f t="shared" si="44"/>
        <v>19060763.949132122</v>
      </c>
      <c r="Y68" s="7">
        <f t="shared" si="44"/>
        <v>8270206.154424294</v>
      </c>
      <c r="Z68" s="7">
        <f t="shared" si="44"/>
        <v>0</v>
      </c>
    </row>
    <row r="69" spans="2:26" ht="15">
      <c r="B69" t="s">
        <v>138</v>
      </c>
      <c r="K69" s="7">
        <f aca="true" t="shared" si="45" ref="K69:Z69">K47*EmpDiscrVA</f>
        <v>97778864.14740965</v>
      </c>
      <c r="L69" s="7">
        <f t="shared" si="45"/>
        <v>107323943.74275194</v>
      </c>
      <c r="M69" s="7">
        <f t="shared" si="45"/>
        <v>117346277.31786184</v>
      </c>
      <c r="N69" s="7">
        <f t="shared" si="45"/>
        <v>127869727.57172649</v>
      </c>
      <c r="O69" s="7">
        <f t="shared" si="45"/>
        <v>138919350.33828488</v>
      </c>
      <c r="P69" s="7">
        <f t="shared" si="45"/>
        <v>150521454.24317044</v>
      </c>
      <c r="Q69" s="7">
        <f t="shared" si="45"/>
        <v>162703663.34330153</v>
      </c>
      <c r="R69" s="7">
        <f t="shared" si="45"/>
        <v>175494982.8984379</v>
      </c>
      <c r="S69" s="7">
        <f t="shared" si="45"/>
        <v>188925868.43133247</v>
      </c>
      <c r="T69" s="7">
        <f t="shared" si="45"/>
        <v>203028298.24087006</v>
      </c>
      <c r="U69" s="7">
        <f t="shared" si="45"/>
        <v>217835849.54088515</v>
      </c>
      <c r="V69" s="7">
        <f t="shared" si="45"/>
        <v>233383778.40590224</v>
      </c>
      <c r="W69" s="7">
        <f t="shared" si="45"/>
        <v>249709103.71416938</v>
      </c>
      <c r="X69" s="7">
        <f t="shared" si="45"/>
        <v>266850695.2878497</v>
      </c>
      <c r="Y69" s="7">
        <f t="shared" si="45"/>
        <v>115782886.16194013</v>
      </c>
      <c r="Z69" s="7">
        <f t="shared" si="45"/>
        <v>0</v>
      </c>
    </row>
    <row r="70" spans="2:26" ht="15">
      <c r="B70" t="s">
        <v>176</v>
      </c>
      <c r="K70" s="7">
        <f aca="true" t="shared" si="46" ref="K70:Z70">K47*EmpAirfareVA</f>
        <v>52381534.36468375</v>
      </c>
      <c r="L70" s="7">
        <f t="shared" si="46"/>
        <v>57494969.86218855</v>
      </c>
      <c r="M70" s="7">
        <f t="shared" si="46"/>
        <v>62864077.13456885</v>
      </c>
      <c r="N70" s="7">
        <f t="shared" si="46"/>
        <v>68501639.77056777</v>
      </c>
      <c r="O70" s="7">
        <f t="shared" si="46"/>
        <v>74421080.5383669</v>
      </c>
      <c r="P70" s="7">
        <f t="shared" si="46"/>
        <v>80636493.3445556</v>
      </c>
      <c r="Q70" s="7">
        <f t="shared" si="46"/>
        <v>87162676.79105441</v>
      </c>
      <c r="R70" s="7">
        <f t="shared" si="46"/>
        <v>94015169.40987745</v>
      </c>
      <c r="S70" s="7">
        <f t="shared" si="46"/>
        <v>101210286.65964241</v>
      </c>
      <c r="T70" s="7">
        <f t="shared" si="46"/>
        <v>108765159.7718947</v>
      </c>
      <c r="U70" s="7">
        <f t="shared" si="46"/>
        <v>116697776.5397599</v>
      </c>
      <c r="V70" s="7">
        <f t="shared" si="46"/>
        <v>125027024.14601907</v>
      </c>
      <c r="W70" s="7">
        <f t="shared" si="46"/>
        <v>133772734.13259076</v>
      </c>
      <c r="X70" s="7">
        <f t="shared" si="46"/>
        <v>142955729.61849093</v>
      </c>
      <c r="Y70" s="7">
        <f t="shared" si="46"/>
        <v>62026546.15818222</v>
      </c>
      <c r="Z70" s="7">
        <f t="shared" si="46"/>
        <v>0</v>
      </c>
    </row>
    <row r="71" spans="2:26" ht="15">
      <c r="B71" t="s">
        <v>140</v>
      </c>
      <c r="K71" s="15">
        <f aca="true" t="shared" si="47" ref="K71:Z71">K49*EmpConstructVA</f>
        <v>1002163069.4374871</v>
      </c>
      <c r="L71" s="15">
        <f t="shared" si="47"/>
        <v>97830204.39747012</v>
      </c>
      <c r="M71" s="15">
        <f t="shared" si="47"/>
        <v>102721714.61734235</v>
      </c>
      <c r="N71" s="15">
        <f t="shared" si="47"/>
        <v>107857800.34820938</v>
      </c>
      <c r="O71" s="15">
        <f t="shared" si="47"/>
        <v>113250690.36561924</v>
      </c>
      <c r="P71" s="15">
        <f t="shared" si="47"/>
        <v>118913224.88390493</v>
      </c>
      <c r="Q71" s="15">
        <f t="shared" si="47"/>
        <v>124858886.12809682</v>
      </c>
      <c r="R71" s="15">
        <f t="shared" si="47"/>
        <v>131101830.43449998</v>
      </c>
      <c r="S71" s="15">
        <f t="shared" si="47"/>
        <v>137656921.9562257</v>
      </c>
      <c r="T71" s="15">
        <f t="shared" si="47"/>
        <v>144539768.05403656</v>
      </c>
      <c r="U71" s="15">
        <f t="shared" si="47"/>
        <v>151766756.45673358</v>
      </c>
      <c r="V71" s="15">
        <f t="shared" si="47"/>
        <v>159355094.2795803</v>
      </c>
      <c r="W71" s="15">
        <f t="shared" si="47"/>
        <v>167322848.99355447</v>
      </c>
      <c r="X71" s="15">
        <f t="shared" si="47"/>
        <v>175688991.44323146</v>
      </c>
      <c r="Y71" s="15">
        <f t="shared" si="47"/>
        <v>-1548336448.852363</v>
      </c>
      <c r="Z71" s="15">
        <f t="shared" si="47"/>
        <v>-1186691352.9436288</v>
      </c>
    </row>
    <row r="72" spans="2:26" ht="15">
      <c r="B72" t="s">
        <v>179</v>
      </c>
      <c r="K72" s="7">
        <f>SUM(K67:K71)</f>
        <v>1223946745.1044476</v>
      </c>
      <c r="L72" s="7">
        <f aca="true" t="shared" si="48" ref="L72:Z72">SUM(L67:L71)</f>
        <v>341264191.2604909</v>
      </c>
      <c r="M72" s="7">
        <f t="shared" si="48"/>
        <v>368888528.2362275</v>
      </c>
      <c r="N72" s="7">
        <f t="shared" si="48"/>
        <v>397894082.0607505</v>
      </c>
      <c r="O72" s="7">
        <f t="shared" si="48"/>
        <v>428349913.57650024</v>
      </c>
      <c r="P72" s="7">
        <f t="shared" si="48"/>
        <v>460328536.6680411</v>
      </c>
      <c r="Q72" s="7">
        <f t="shared" si="48"/>
        <v>493906090.91415375</v>
      </c>
      <c r="R72" s="7">
        <f t="shared" si="48"/>
        <v>529162522.87257075</v>
      </c>
      <c r="S72" s="7">
        <f t="shared" si="48"/>
        <v>566181776.4289142</v>
      </c>
      <c r="T72" s="7">
        <f t="shared" si="48"/>
        <v>605051992.6630698</v>
      </c>
      <c r="U72" s="7">
        <f t="shared" si="48"/>
        <v>645865719.7089303</v>
      </c>
      <c r="V72" s="7">
        <f t="shared" si="48"/>
        <v>688720133.1071014</v>
      </c>
      <c r="W72" s="7">
        <f t="shared" si="48"/>
        <v>733717267.1751643</v>
      </c>
      <c r="X72" s="7">
        <f t="shared" si="48"/>
        <v>780964257.9466342</v>
      </c>
      <c r="Y72" s="7">
        <f t="shared" si="48"/>
        <v>-1285715745.5313313</v>
      </c>
      <c r="Z72" s="7">
        <f t="shared" si="48"/>
        <v>-1186691352.9436288</v>
      </c>
    </row>
    <row r="73" spans="2:26" ht="15">
      <c r="B73" t="s">
        <v>147</v>
      </c>
      <c r="K73" s="7">
        <f aca="true" t="shared" si="49" ref="K73:Z73">K47*Taxes</f>
        <v>241187864.8969438</v>
      </c>
      <c r="L73" s="7">
        <f t="shared" si="49"/>
        <v>264732394.5654548</v>
      </c>
      <c r="M73" s="7">
        <f t="shared" si="49"/>
        <v>289454150.7173925</v>
      </c>
      <c r="N73" s="7">
        <f t="shared" si="49"/>
        <v>315411994.67692536</v>
      </c>
      <c r="O73" s="7">
        <f t="shared" si="49"/>
        <v>342667730.834436</v>
      </c>
      <c r="P73" s="7">
        <f t="shared" si="49"/>
        <v>371286253.7998204</v>
      </c>
      <c r="Q73" s="7">
        <f t="shared" si="49"/>
        <v>401335702.9134771</v>
      </c>
      <c r="R73" s="7">
        <f t="shared" si="49"/>
        <v>432887624.4828134</v>
      </c>
      <c r="S73" s="7">
        <f t="shared" si="49"/>
        <v>466017142.1306201</v>
      </c>
      <c r="T73" s="7">
        <f t="shared" si="49"/>
        <v>500803135.66081285</v>
      </c>
      <c r="U73" s="7">
        <f t="shared" si="49"/>
        <v>537328428.8675166</v>
      </c>
      <c r="V73" s="7">
        <f t="shared" si="49"/>
        <v>575679986.7345588</v>
      </c>
      <c r="W73" s="7">
        <f t="shared" si="49"/>
        <v>615949122.4949511</v>
      </c>
      <c r="X73" s="7">
        <f t="shared" si="49"/>
        <v>658231715.0433626</v>
      </c>
      <c r="Y73" s="7">
        <f t="shared" si="49"/>
        <v>285597785.86611897</v>
      </c>
      <c r="Z73" s="7">
        <f t="shared" si="49"/>
        <v>0</v>
      </c>
    </row>
    <row r="74" spans="2:26" ht="15">
      <c r="B74" t="s">
        <v>180</v>
      </c>
      <c r="K74" s="7">
        <f aca="true" t="shared" si="50" ref="K74:Z74">K51-K72-K73</f>
        <v>394629576.09956837</v>
      </c>
      <c r="L74" s="7">
        <f t="shared" si="50"/>
        <v>99098583.00155178</v>
      </c>
      <c r="M74" s="7">
        <f t="shared" si="50"/>
        <v>106938046.41927046</v>
      </c>
      <c r="N74" s="7">
        <f t="shared" si="50"/>
        <v>115169483.0078705</v>
      </c>
      <c r="O74" s="7">
        <f t="shared" si="50"/>
        <v>123812491.42590153</v>
      </c>
      <c r="P74" s="7">
        <f t="shared" si="50"/>
        <v>132887650.2648369</v>
      </c>
      <c r="Q74" s="7">
        <f t="shared" si="50"/>
        <v>142416567.0457173</v>
      </c>
      <c r="R74" s="7">
        <f t="shared" si="50"/>
        <v>152421929.66563863</v>
      </c>
      <c r="S74" s="7">
        <f t="shared" si="50"/>
        <v>162927560.4165609</v>
      </c>
      <c r="T74" s="7">
        <f t="shared" si="50"/>
        <v>173958472.70502508</v>
      </c>
      <c r="U74" s="7">
        <f t="shared" si="50"/>
        <v>185540930.6079136</v>
      </c>
      <c r="V74" s="7">
        <f t="shared" si="50"/>
        <v>197702511.40595174</v>
      </c>
      <c r="W74" s="7">
        <f t="shared" si="50"/>
        <v>210472171.243886</v>
      </c>
      <c r="X74" s="7">
        <f t="shared" si="50"/>
        <v>223880314.0737201</v>
      </c>
      <c r="Y74" s="7">
        <f t="shared" si="50"/>
        <v>-444383214.95760566</v>
      </c>
      <c r="Z74" s="7">
        <f t="shared" si="50"/>
        <v>-395563784.3145423</v>
      </c>
    </row>
    <row r="75" spans="11:26" ht="15">
      <c r="K75" s="7"/>
      <c r="L75" s="7"/>
      <c r="M75" s="7"/>
      <c r="N75" s="7"/>
      <c r="O75" s="7"/>
      <c r="P75" s="7"/>
      <c r="Q75" s="7"/>
      <c r="R75" s="7"/>
      <c r="S75" s="7"/>
      <c r="T75" s="7"/>
      <c r="U75" s="7"/>
      <c r="V75" s="7"/>
      <c r="W75" s="7"/>
      <c r="X75" s="7"/>
      <c r="Y75" s="7"/>
      <c r="Z75" s="7"/>
    </row>
    <row r="76" spans="2:26" ht="15">
      <c r="B76" t="s">
        <v>134</v>
      </c>
      <c r="K76" s="4">
        <f aca="true" t="shared" si="51" ref="K76:Z76">K67/(mosalary*12)</f>
        <v>198.4010821759034</v>
      </c>
      <c r="L76" s="4">
        <f t="shared" si="51"/>
        <v>217.76880686450335</v>
      </c>
      <c r="M76" s="4">
        <f t="shared" si="51"/>
        <v>238.10491778753425</v>
      </c>
      <c r="N76" s="4">
        <f t="shared" si="51"/>
        <v>259.4578342567152</v>
      </c>
      <c r="O76" s="4">
        <f t="shared" si="51"/>
        <v>281.87839654935624</v>
      </c>
      <c r="P76" s="4">
        <f t="shared" si="51"/>
        <v>305.41998695662784</v>
      </c>
      <c r="Q76" s="4">
        <f t="shared" si="51"/>
        <v>330.1386568842656</v>
      </c>
      <c r="R76" s="4">
        <f t="shared" si="51"/>
        <v>356.0932603082825</v>
      </c>
      <c r="S76" s="4">
        <f t="shared" si="51"/>
        <v>383.3455939035032</v>
      </c>
      <c r="T76" s="4">
        <f t="shared" si="51"/>
        <v>411.9605441784814</v>
      </c>
      <c r="U76" s="4">
        <f t="shared" si="51"/>
        <v>442.0062419672098</v>
      </c>
      <c r="V76" s="4">
        <f t="shared" si="51"/>
        <v>473.55422464537713</v>
      </c>
      <c r="W76" s="4">
        <f t="shared" si="51"/>
        <v>506.67960645745126</v>
      </c>
      <c r="X76" s="4">
        <f t="shared" si="51"/>
        <v>541.4612573601287</v>
      </c>
      <c r="Y76" s="4">
        <f t="shared" si="51"/>
        <v>234.9326729480822</v>
      </c>
      <c r="Z76" s="4">
        <f t="shared" si="51"/>
        <v>0</v>
      </c>
    </row>
    <row r="77" spans="2:26" ht="15">
      <c r="B77" t="s">
        <v>137</v>
      </c>
      <c r="K77" s="4">
        <f aca="true" t="shared" si="52" ref="K77:Z77">K68/(mosalary*12)</f>
        <v>21.43709202565326</v>
      </c>
      <c r="L77" s="4">
        <f t="shared" si="52"/>
        <v>23.529760532919394</v>
      </c>
      <c r="M77" s="4">
        <f t="shared" si="52"/>
        <v>25.72706246554894</v>
      </c>
      <c r="N77" s="4">
        <f t="shared" si="52"/>
        <v>28.034229494809804</v>
      </c>
      <c r="O77" s="4">
        <f t="shared" si="52"/>
        <v>30.456754875533825</v>
      </c>
      <c r="P77" s="4">
        <f t="shared" si="52"/>
        <v>33.00040652529388</v>
      </c>
      <c r="Q77" s="4">
        <f t="shared" si="52"/>
        <v>35.671240757542215</v>
      </c>
      <c r="R77" s="4">
        <f t="shared" si="52"/>
        <v>38.47561670140267</v>
      </c>
      <c r="S77" s="4">
        <f t="shared" si="52"/>
        <v>41.42021144245648</v>
      </c>
      <c r="T77" s="4">
        <f t="shared" si="52"/>
        <v>44.51203592056259</v>
      </c>
      <c r="U77" s="4">
        <f t="shared" si="52"/>
        <v>47.758451622574135</v>
      </c>
      <c r="V77" s="4">
        <f t="shared" si="52"/>
        <v>51.16718810968654</v>
      </c>
      <c r="W77" s="4">
        <f t="shared" si="52"/>
        <v>54.74636142115438</v>
      </c>
      <c r="X77" s="4">
        <f t="shared" si="52"/>
        <v>58.504493398195585</v>
      </c>
      <c r="Y77" s="4">
        <f t="shared" si="52"/>
        <v>25.384303727514713</v>
      </c>
      <c r="Z77" s="4">
        <f t="shared" si="52"/>
        <v>0</v>
      </c>
    </row>
    <row r="78" spans="2:26" ht="15">
      <c r="B78" t="s">
        <v>139</v>
      </c>
      <c r="K78" s="4">
        <f aca="true" t="shared" si="53" ref="K78:Z78">K69/(mosalary*12)</f>
        <v>300.1192883591456</v>
      </c>
      <c r="L78" s="4">
        <f t="shared" si="53"/>
        <v>329.4166474608715</v>
      </c>
      <c r="M78" s="4">
        <f t="shared" si="53"/>
        <v>360.1788745176852</v>
      </c>
      <c r="N78" s="4">
        <f t="shared" si="53"/>
        <v>392.4792129273373</v>
      </c>
      <c r="O78" s="4">
        <f t="shared" si="53"/>
        <v>426.39456825747357</v>
      </c>
      <c r="P78" s="4">
        <f t="shared" si="53"/>
        <v>462.0056913541143</v>
      </c>
      <c r="Q78" s="4">
        <f t="shared" si="53"/>
        <v>499.39737060559094</v>
      </c>
      <c r="R78" s="4">
        <f t="shared" si="53"/>
        <v>538.6586338196374</v>
      </c>
      <c r="S78" s="4">
        <f t="shared" si="53"/>
        <v>579.8829601943906</v>
      </c>
      <c r="T78" s="4">
        <f t="shared" si="53"/>
        <v>623.1685028878762</v>
      </c>
      <c r="U78" s="4">
        <f t="shared" si="53"/>
        <v>668.6183227160379</v>
      </c>
      <c r="V78" s="4">
        <f t="shared" si="53"/>
        <v>716.3406335356116</v>
      </c>
      <c r="W78" s="4">
        <f t="shared" si="53"/>
        <v>766.4490598961614</v>
      </c>
      <c r="X78" s="4">
        <f t="shared" si="53"/>
        <v>819.0629075747381</v>
      </c>
      <c r="Y78" s="4">
        <f t="shared" si="53"/>
        <v>355.380252185206</v>
      </c>
      <c r="Z78" s="4">
        <f t="shared" si="53"/>
        <v>0</v>
      </c>
    </row>
    <row r="79" spans="2:26" ht="15">
      <c r="B79" t="s">
        <v>178</v>
      </c>
      <c r="K79" s="4">
        <f>K70/((mosalary*12)*(1-BA_Data!$G35)+32000*12*BA_Data!$G35)</f>
        <v>145.2138344552111</v>
      </c>
      <c r="L79" s="4">
        <f>L70/((mosalary*12)*(1-BA_Data!$G35)+32000*12*BA_Data!$G35)</f>
        <v>159.38947067583874</v>
      </c>
      <c r="M79" s="4">
        <f>M70/((mosalary*12)*(1-BA_Data!$G35)+32000*12*BA_Data!$G35)</f>
        <v>174.27388870749846</v>
      </c>
      <c r="N79" s="4">
        <f>N70/((mosalary*12)*(1-BA_Data!$G35)+32000*12*BA_Data!$G35)</f>
        <v>189.90252764074012</v>
      </c>
      <c r="O79" s="4">
        <f>O70/((mosalary*12)*(1-BA_Data!$G35)+32000*12*BA_Data!$G35)</f>
        <v>206.31259852064454</v>
      </c>
      <c r="P79" s="4">
        <f>P70/((mosalary*12)*(1-BA_Data!$G35)+32000*12*BA_Data!$G35)</f>
        <v>223.54317294454313</v>
      </c>
      <c r="Q79" s="4">
        <f>Q70/((mosalary*12)*(1-BA_Data!$G35)+32000*12*BA_Data!$G35)</f>
        <v>241.63527608963852</v>
      </c>
      <c r="R79" s="4">
        <f>R70/((mosalary*12)*(1-BA_Data!$G35)+32000*12*BA_Data!$G35)</f>
        <v>260.6319843919867</v>
      </c>
      <c r="S79" s="4">
        <f>S70/((mosalary*12)*(1-BA_Data!$G35)+32000*12*BA_Data!$G35)</f>
        <v>280.57852810945445</v>
      </c>
      <c r="T79" s="4">
        <f>T70/((mosalary*12)*(1-BA_Data!$G35)+32000*12*BA_Data!$G35)</f>
        <v>301.522399012793</v>
      </c>
      <c r="U79" s="4">
        <f>U70/((mosalary*12)*(1-BA_Data!$G35)+32000*12*BA_Data!$G35)</f>
        <v>323.51346346129935</v>
      </c>
      <c r="V79" s="4">
        <f>V70/((mosalary*12)*(1-BA_Data!$G35)+32000*12*BA_Data!$G35)</f>
        <v>346.604081132233</v>
      </c>
      <c r="W79" s="4">
        <f>W70/((mosalary*12)*(1-BA_Data!$G35)+32000*12*BA_Data!$G35)</f>
        <v>370.849229686712</v>
      </c>
      <c r="X79" s="4">
        <f>X70/((mosalary*12)*(1-BA_Data!$G35)+32000*12*BA_Data!$G35)</f>
        <v>396.3066356689148</v>
      </c>
      <c r="Y79" s="4">
        <f>Y70/((mosalary*12)*(1-BA_Data!$G35)+32000*12*BA_Data!$G35)</f>
        <v>171.95205743563488</v>
      </c>
      <c r="Z79" s="4">
        <f>Z70/((mosalary*12)*(1-BA_Data!$G35)+32000*12*BA_Data!$G35)</f>
        <v>0</v>
      </c>
    </row>
    <row r="80" spans="2:26" ht="15">
      <c r="B80" t="s">
        <v>141</v>
      </c>
      <c r="K80" s="4">
        <f aca="true" t="shared" si="54" ref="K80:Z80">K71/(mosalary*12)</f>
        <v>3076.006965738143</v>
      </c>
      <c r="L80" s="4">
        <f t="shared" si="54"/>
        <v>300.27687046491747</v>
      </c>
      <c r="M80" s="4">
        <f t="shared" si="54"/>
        <v>315.29071398815944</v>
      </c>
      <c r="N80" s="4">
        <f t="shared" si="54"/>
        <v>331.05524968756714</v>
      </c>
      <c r="O80" s="4">
        <f t="shared" si="54"/>
        <v>347.60801217194364</v>
      </c>
      <c r="P80" s="4">
        <f t="shared" si="54"/>
        <v>364.98841278055534</v>
      </c>
      <c r="Q80" s="4">
        <f t="shared" si="54"/>
        <v>383.2378334195728</v>
      </c>
      <c r="R80" s="4">
        <f t="shared" si="54"/>
        <v>402.39972509054627</v>
      </c>
      <c r="S80" s="4">
        <f t="shared" si="54"/>
        <v>422.5197113450758</v>
      </c>
      <c r="T80" s="4">
        <f t="shared" si="54"/>
        <v>443.6456969123283</v>
      </c>
      <c r="U80" s="4">
        <f t="shared" si="54"/>
        <v>465.82798175793</v>
      </c>
      <c r="V80" s="4">
        <f t="shared" si="54"/>
        <v>489.1193808458573</v>
      </c>
      <c r="W80" s="4">
        <f t="shared" si="54"/>
        <v>513.5753498881353</v>
      </c>
      <c r="X80" s="4">
        <f t="shared" si="54"/>
        <v>539.2541173825398</v>
      </c>
      <c r="Y80" s="4">
        <f t="shared" si="54"/>
        <v>-4752.413900713208</v>
      </c>
      <c r="Z80" s="4">
        <f t="shared" si="54"/>
        <v>-3642.392120760064</v>
      </c>
    </row>
  </sheetData>
  <sheetProtection/>
  <mergeCells count="1">
    <mergeCell ref="B1:J1"/>
  </mergeCells>
  <conditionalFormatting sqref="B1">
    <cfRule type="cellIs" priority="1" dxfId="26" operator="equal" stopIfTrue="1">
      <formula>0</formula>
    </cfRule>
    <cfRule type="cellIs" priority="2" dxfId="27" operator="notEqual" stopIfTrue="1">
      <formula>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Cape Verde (II): Land Management for Investment Project</dc:title>
  <dc:subject>Economic Analysis</dc:subject>
  <dc:creator>Millennium Challenge Corporation</dc:creator>
  <cp:keywords/>
  <dc:description>Change record: 
&lt;-1_1: indicators graph added;
&lt;-1: no change from origional
copy: small adjustment in investment costs USD18.7-&gt;18.8 million total
&lt;-0_4_2: Island sheets cleaned up to remove individual return calculations.
0_4_1: Gov't rev discounted according to share of productive/unproductive spending.</dc:description>
  <cp:lastModifiedBy>Block, Marissa L (DPE/EE-EA/PSC)</cp:lastModifiedBy>
  <cp:lastPrinted>2013-07-17T15:01:17Z</cp:lastPrinted>
  <dcterms:created xsi:type="dcterms:W3CDTF">2011-08-18T16:15:01Z</dcterms:created>
  <dcterms:modified xsi:type="dcterms:W3CDTF">2015-03-27T14:52:41Z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