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activeTab="1"/>
  </bookViews>
  <sheets>
    <sheet name="User's Guide" sheetId="1" r:id="rId1"/>
    <sheet name="Project Description" sheetId="2" r:id="rId2"/>
    <sheet name="CB_DATA_" sheetId="3" state="veryHidden" r:id="rId3"/>
    <sheet name="ERR &amp; Sensitivity Analysis" sheetId="4" r:id="rId4"/>
    <sheet name="Ag ERR" sheetId="5" r:id="rId5"/>
    <sheet name="Program Costs" sheetId="6" r:id="rId6"/>
    <sheet name="Admin Costs" sheetId="7" r:id="rId7"/>
    <sheet name="Horticulture" sheetId="8" r:id="rId8"/>
    <sheet name="MFIs" sheetId="9" r:id="rId9"/>
    <sheet name="Agribusiness" sheetId="10" r:id="rId10"/>
    <sheet name="Coffee" sheetId="11" r:id="rId11"/>
    <sheet name="Value-Added" sheetId="12" r:id="rId12"/>
    <sheet name="Financial Model" sheetId="13" r:id="rId13"/>
    <sheet name="Crop Data" sheetId="14" r:id="rId14"/>
    <sheet name="Data Matrix" sheetId="15" state="hidden" r:id="rId15"/>
  </sheets>
  <definedNames>
    <definedName name="CB_2ed32ef8d90b4065b0d05e43eacea488" localSheetId="3" hidden="1">'ERR &amp; Sensitivity Analysis'!$D$19</definedName>
    <definedName name="CB_453f0c27cc2d4cfc802da12a825b70c8" localSheetId="3" hidden="1">'ERR &amp; Sensitivity Analysis'!$D$20</definedName>
    <definedName name="CB_4f68a06b4e9b46368d0dbe8d2399a01b" localSheetId="3" hidden="1">'ERR &amp; Sensitivity Analysis'!$D$16</definedName>
    <definedName name="CB_54d28fdc49a54d3e99eae4e33319d54c" localSheetId="3" hidden="1">'ERR &amp; Sensitivity Analysis'!$D$24</definedName>
    <definedName name="CB_8f42f921e9f944088e090f714d662372" localSheetId="3" hidden="1">'ERR &amp; Sensitivity Analysis'!$D$18</definedName>
    <definedName name="CB_a09cd2ead7b1473098820cd70f8e953c" localSheetId="3" hidden="1">'ERR &amp; Sensitivity Analysis'!$D$14</definedName>
    <definedName name="CB_b0622d08af3b42c2a5d357f5bfa28a50" localSheetId="3" hidden="1">'ERR &amp; Sensitivity Analysis'!$D$13</definedName>
    <definedName name="CB_c734c63b857a4402a5a8e2830b6a1f19" localSheetId="3" hidden="1">'ERR &amp; Sensitivity Analysis'!$D$17</definedName>
    <definedName name="CB_f3e6b41e71b84147aa0b1f13b3ad4896" localSheetId="3" hidden="1">'ERR &amp; Sensitivity Analysis'!$D$15</definedName>
    <definedName name="CBWorkbookPriority" hidden="1">-1259906239</definedName>
    <definedName name="CBx_082f272e80a0408cb59fc567a59b1e50" localSheetId="2" hidden="1">"'ERR &amp; Sensitivity Analysis'!$A$1"</definedName>
    <definedName name="CBx_71d51a63cc5f4cc395cbbbfe8299c579" localSheetId="2" hidden="1">"'CB_DATA_'!$A$1"</definedName>
    <definedName name="CBx_Sheet_Guid" localSheetId="2" hidden="1">"'71d51a63-cc5f-4cc3-95cb-bbfe8299c579"</definedName>
    <definedName name="CBx_Sheet_Guid" localSheetId="3" hidden="1">"'082f272e-80a0-408c-b59f-c567a59b1e50"</definedName>
    <definedName name="CBx_StorageType" localSheetId="2" hidden="1">1</definedName>
    <definedName name="CBx_StorageType" localSheetId="3" hidden="1">1</definedName>
  </definedNames>
  <calcPr fullCalcOnLoad="1"/>
</workbook>
</file>

<file path=xl/comments14.xml><?xml version="1.0" encoding="utf-8"?>
<comments xmlns="http://schemas.openxmlformats.org/spreadsheetml/2006/main">
  <authors>
    <author>MCC</author>
  </authors>
  <commentList>
    <comment ref="A13" authorId="0">
      <text>
        <r>
          <rPr>
            <b/>
            <sz val="8"/>
            <rFont val="Tahoma"/>
            <family val="0"/>
          </rPr>
          <t>MCC:</t>
        </r>
        <r>
          <rPr>
            <sz val="8"/>
            <rFont val="Tahoma"/>
            <family val="0"/>
          </rPr>
          <t xml:space="preserve">
Leaves are used for fuel</t>
        </r>
      </text>
    </comment>
    <comment ref="D10" authorId="0">
      <text>
        <r>
          <rPr>
            <b/>
            <sz val="8"/>
            <rFont val="Tahoma"/>
            <family val="0"/>
          </rPr>
          <t>MCC:</t>
        </r>
        <r>
          <rPr>
            <sz val="8"/>
            <rFont val="Tahoma"/>
            <family val="0"/>
          </rPr>
          <t xml:space="preserve">
half of production is paid after harvest</t>
        </r>
      </text>
    </comment>
    <comment ref="H10" authorId="0">
      <text>
        <r>
          <rPr>
            <b/>
            <sz val="8"/>
            <rFont val="Tahoma"/>
            <family val="0"/>
          </rPr>
          <t>MCC:</t>
        </r>
        <r>
          <rPr>
            <sz val="8"/>
            <rFont val="Tahoma"/>
            <family val="0"/>
          </rPr>
          <t xml:space="preserve">
rainfed</t>
        </r>
      </text>
    </comment>
    <comment ref="I10" authorId="0">
      <text>
        <r>
          <rPr>
            <b/>
            <sz val="8"/>
            <rFont val="Tahoma"/>
            <family val="0"/>
          </rPr>
          <t>MCC:</t>
        </r>
        <r>
          <rPr>
            <sz val="8"/>
            <rFont val="Tahoma"/>
            <family val="0"/>
          </rPr>
          <t xml:space="preserve">
per year</t>
        </r>
      </text>
    </comment>
    <comment ref="B11" authorId="0">
      <text>
        <r>
          <rPr>
            <b/>
            <sz val="8"/>
            <rFont val="Tahoma"/>
            <family val="0"/>
          </rPr>
          <t>MCC:</t>
        </r>
        <r>
          <rPr>
            <sz val="8"/>
            <rFont val="Tahoma"/>
            <family val="0"/>
          </rPr>
          <t xml:space="preserve">
included above
</t>
        </r>
      </text>
    </comment>
    <comment ref="I11" authorId="0">
      <text>
        <r>
          <rPr>
            <b/>
            <sz val="8"/>
            <rFont val="Tahoma"/>
            <family val="0"/>
          </rPr>
          <t>MCC:</t>
        </r>
        <r>
          <rPr>
            <sz val="8"/>
            <rFont val="Tahoma"/>
            <family val="0"/>
          </rPr>
          <t xml:space="preserve">
included above
</t>
        </r>
      </text>
    </comment>
    <comment ref="D13" authorId="0">
      <text>
        <r>
          <rPr>
            <b/>
            <sz val="8"/>
            <rFont val="Tahoma"/>
            <family val="0"/>
          </rPr>
          <t>MCC:</t>
        </r>
        <r>
          <rPr>
            <sz val="8"/>
            <rFont val="Tahoma"/>
            <family val="0"/>
          </rPr>
          <t xml:space="preserve">
Less than horticulture</t>
        </r>
      </text>
    </comment>
    <comment ref="H13" authorId="0">
      <text>
        <r>
          <rPr>
            <b/>
            <sz val="8"/>
            <rFont val="Tahoma"/>
            <family val="0"/>
          </rPr>
          <t>MCC:</t>
        </r>
        <r>
          <rPr>
            <sz val="8"/>
            <rFont val="Tahoma"/>
            <family val="0"/>
          </rPr>
          <t xml:space="preserve">
In Paul, don't pay for water</t>
        </r>
      </text>
    </comment>
    <comment ref="D18" authorId="0">
      <text>
        <r>
          <rPr>
            <b/>
            <sz val="8"/>
            <rFont val="Tahoma"/>
            <family val="0"/>
          </rPr>
          <t>MCC:</t>
        </r>
        <r>
          <rPr>
            <sz val="8"/>
            <rFont val="Tahoma"/>
            <family val="0"/>
          </rPr>
          <t xml:space="preserve">
Drip increases rent by about 25%</t>
        </r>
      </text>
    </comment>
    <comment ref="C23" authorId="0">
      <text>
        <r>
          <rPr>
            <b/>
            <sz val="8"/>
            <rFont val="Tahoma"/>
            <family val="0"/>
          </rPr>
          <t>MCC:</t>
        </r>
        <r>
          <rPr>
            <sz val="8"/>
            <rFont val="Tahoma"/>
            <family val="0"/>
          </rPr>
          <t xml:space="preserve">
Fuel included in inputs
</t>
        </r>
      </text>
    </comment>
    <comment ref="C24" authorId="0">
      <text>
        <r>
          <rPr>
            <b/>
            <sz val="8"/>
            <rFont val="Tahoma"/>
            <family val="0"/>
          </rPr>
          <t>MCC:</t>
        </r>
        <r>
          <rPr>
            <sz val="8"/>
            <rFont val="Tahoma"/>
            <family val="0"/>
          </rPr>
          <t xml:space="preserve">
Fuel included in inputs
</t>
        </r>
      </text>
    </comment>
  </commentList>
</comments>
</file>

<file path=xl/comments6.xml><?xml version="1.0" encoding="utf-8"?>
<comments xmlns="http://schemas.openxmlformats.org/spreadsheetml/2006/main">
  <authors>
    <author>Tim Breitbarth</author>
  </authors>
  <commentList>
    <comment ref="H52" authorId="0">
      <text>
        <r>
          <rPr>
            <sz val="8"/>
            <rFont val="Tahoma"/>
            <family val="2"/>
          </rPr>
          <t>This is the admin costs with only two islands.</t>
        </r>
      </text>
    </comment>
    <comment ref="H55" authorId="0">
      <text>
        <r>
          <rPr>
            <sz val="8"/>
            <rFont val="Tahoma"/>
            <family val="2"/>
          </rPr>
          <t>Subtracted $1 million.</t>
        </r>
      </text>
    </comment>
    <comment ref="M6" authorId="0">
      <text>
        <r>
          <rPr>
            <sz val="8"/>
            <rFont val="Tahoma"/>
            <family val="2"/>
          </rPr>
          <t>From "Ag ERR" worksheet</t>
        </r>
      </text>
    </comment>
  </commentList>
</comments>
</file>

<file path=xl/comments8.xml><?xml version="1.0" encoding="utf-8"?>
<comments xmlns="http://schemas.openxmlformats.org/spreadsheetml/2006/main">
  <authors>
    <author> </author>
  </authors>
  <commentList>
    <comment ref="E47" authorId="0">
      <text>
        <r>
          <rPr>
            <sz val="8"/>
            <rFont val="Tahoma"/>
            <family val="0"/>
          </rPr>
          <t xml:space="preserve">The baseline is 0.7 ha
</t>
        </r>
      </text>
    </comment>
  </commentList>
</comments>
</file>

<file path=xl/sharedStrings.xml><?xml version="1.0" encoding="utf-8"?>
<sst xmlns="http://schemas.openxmlformats.org/spreadsheetml/2006/main" count="706" uniqueCount="413">
  <si>
    <t>with traditional</t>
  </si>
  <si>
    <t>with drip irrigation</t>
  </si>
  <si>
    <t>-corn</t>
  </si>
  <si>
    <t>-beans</t>
  </si>
  <si>
    <t>tons/hectare</t>
  </si>
  <si>
    <t>escudos/kg</t>
  </si>
  <si>
    <t>escudos/hectare</t>
  </si>
  <si>
    <t>Typical dry crop</t>
  </si>
  <si>
    <t>Yield per Cycle</t>
  </si>
  <si>
    <t>Duration of One Cycle</t>
  </si>
  <si>
    <t># of days</t>
  </si>
  <si>
    <t># cycles</t>
  </si>
  <si>
    <t>Average Farm Wage</t>
  </si>
  <si>
    <t>% of labor paid to non-family members</t>
  </si>
  <si>
    <t>%</t>
  </si>
  <si>
    <t>Typical horticulture (cabbage)</t>
  </si>
  <si>
    <t>CYCLES</t>
  </si>
  <si>
    <t>LABOR PER PRODUCTION CYCLE</t>
  </si>
  <si>
    <t>YIELDS</t>
  </si>
  <si>
    <t>Annual Yield</t>
  </si>
  <si>
    <t>Average Farmgate</t>
  </si>
  <si>
    <t>Average Market</t>
  </si>
  <si>
    <t>PRICES</t>
  </si>
  <si>
    <t xml:space="preserve">WATER </t>
  </si>
  <si>
    <t>Water fee</t>
  </si>
  <si>
    <t>escudos/m3</t>
  </si>
  <si>
    <t>Average Rent</t>
  </si>
  <si>
    <t>Production Costs per Production Cycle WITHOUT Water or Labor</t>
  </si>
  <si>
    <t>Number of Cycles per Year</t>
  </si>
  <si>
    <t>Inputs - seeds, fertilizer, pesticides, plant substitution</t>
  </si>
  <si>
    <t>Depreciation on Equipment other than Drip System</t>
  </si>
  <si>
    <t>Maintenance of Drip System</t>
  </si>
  <si>
    <t>Average Labor</t>
  </si>
  <si>
    <t>Fuel</t>
  </si>
  <si>
    <t>m3/day/hectare</t>
  </si>
  <si>
    <t>Factores de Producao</t>
  </si>
  <si>
    <t>Combustivel</t>
  </si>
  <si>
    <t>Renda de terreno</t>
  </si>
  <si>
    <t>Typical fruit (banana/papaya)</t>
  </si>
  <si>
    <t>Tarifa de agua</t>
  </si>
  <si>
    <t>Mao de Obra</t>
  </si>
  <si>
    <t>Manutencao do sistema gota a gota</t>
  </si>
  <si>
    <t>Amortizacao do equipamento (nao gota a gota)</t>
  </si>
  <si>
    <t>Amount of Water Used per Day</t>
  </si>
  <si>
    <t>Agua utilizada por dia</t>
  </si>
  <si>
    <t>escudos/day</t>
  </si>
  <si>
    <t>day/hectare</t>
  </si>
  <si>
    <t>Rendimento por ciclo</t>
  </si>
  <si>
    <t>Sugar Cane</t>
  </si>
  <si>
    <t>New Coffee</t>
  </si>
  <si>
    <t>Mao de Obra que nao e familia</t>
  </si>
  <si>
    <t>Salario Medio</t>
  </si>
  <si>
    <t>Dias do ciclo</t>
  </si>
  <si>
    <t>Numero dos ciclos por ano</t>
  </si>
  <si>
    <t>Rendimento anual</t>
  </si>
  <si>
    <t>Preco do produtor</t>
  </si>
  <si>
    <t>Preco do mercado</t>
  </si>
  <si>
    <t>Dry Crops (corn/beans)</t>
  </si>
  <si>
    <t>Wages Paid Out</t>
  </si>
  <si>
    <t>Sugar Cane on Santo Antao</t>
  </si>
  <si>
    <t>Water</t>
  </si>
  <si>
    <t>Year 1</t>
  </si>
  <si>
    <t>Year 2</t>
  </si>
  <si>
    <t>Year 3</t>
  </si>
  <si>
    <t>Cape Verde Escudo / USD</t>
  </si>
  <si>
    <t>KGs/Ton</t>
  </si>
  <si>
    <t>Family Consumption</t>
  </si>
  <si>
    <t>Total Sales Revenue</t>
  </si>
  <si>
    <t>Gross Income</t>
  </si>
  <si>
    <t>Net Income (Escudos)</t>
  </si>
  <si>
    <t>Net Income (USD)</t>
  </si>
  <si>
    <t>Beginning Loan Balance</t>
  </si>
  <si>
    <t>Ending Loan Balance</t>
  </si>
  <si>
    <t>Revenue</t>
  </si>
  <si>
    <t>Costs</t>
  </si>
  <si>
    <t>Cabbage</t>
  </si>
  <si>
    <t>Tomato</t>
  </si>
  <si>
    <t>Banana/Papaya</t>
  </si>
  <si>
    <t>Drip System Cost per Hectare</t>
  </si>
  <si>
    <t>USD</t>
  </si>
  <si>
    <t>Input Costs per Hectare</t>
  </si>
  <si>
    <t>CV Escudos</t>
  </si>
  <si>
    <t>Exchange Rate (CV Esc / USD)</t>
  </si>
  <si>
    <t>Crop and Water Type?</t>
  </si>
  <si>
    <t>Annual (Escudos)</t>
  </si>
  <si>
    <t>Loan Amount for Drip System</t>
  </si>
  <si>
    <t>Loan Amount for Inputs</t>
  </si>
  <si>
    <t>Annual Interest Rate</t>
  </si>
  <si>
    <t>Loan Tenor</t>
  </si>
  <si>
    <t>m3 Farmed (10,000 = 1 Hectare)</t>
  </si>
  <si>
    <t>Hectares</t>
  </si>
  <si>
    <t>Quarters</t>
  </si>
  <si>
    <t>Quarter 1</t>
  </si>
  <si>
    <t>Quarter 2</t>
  </si>
  <si>
    <t>Quarter 3</t>
  </si>
  <si>
    <t>Quarter 4</t>
  </si>
  <si>
    <t>Quarter 5</t>
  </si>
  <si>
    <t>Quarter 6</t>
  </si>
  <si>
    <t>Quarter 7</t>
  </si>
  <si>
    <t>Quarter 8</t>
  </si>
  <si>
    <t>Quarter 9</t>
  </si>
  <si>
    <t>Quarter 10</t>
  </si>
  <si>
    <t>Quarter 11</t>
  </si>
  <si>
    <t>Quarter 12</t>
  </si>
  <si>
    <t>Assumptions:</t>
  </si>
  <si>
    <t>LEGEND</t>
  </si>
  <si>
    <t>Input Number Below</t>
  </si>
  <si>
    <t>from Legend:</t>
  </si>
  <si>
    <t>Service Fee (Paid Up-Front)</t>
  </si>
  <si>
    <t>Loan Service Fee</t>
  </si>
  <si>
    <t>Financial Model for Drip Irrigation in Cape Verde</t>
  </si>
  <si>
    <t>Percent Financed (D/E Ratio)</t>
  </si>
  <si>
    <t>Total Production Revenue *</t>
  </si>
  <si>
    <t>Cost of Production *</t>
  </si>
  <si>
    <t xml:space="preserve">* Cost of Production is a function of Annual Production Costs (including Water and Labor) which are comprised of Input Costs, Fuel, Land Rent, and Maintenance.  Details can be found on "Crop Data" Worksheet. </t>
  </si>
  <si>
    <t xml:space="preserve">* Total Production Revenue is a function of Annual Yield (Number of Cycles * Yield per Cycle) and the Average Farmgate Price for that particular Crop.  Details can be found on "Crop Data" Worksheet.  </t>
  </si>
  <si>
    <t>* Total Production Revenue and Cost of Production have been calculated on an Annual Basis (in the "Value-Added" Worksheet), but have been shown above as a Straight-Line Quarterly Distribution.</t>
  </si>
  <si>
    <t>Local Inflation Rate (Annual)</t>
  </si>
  <si>
    <t>Payment Function</t>
  </si>
  <si>
    <t>Principal Repayment (Mortgage Style)</t>
  </si>
  <si>
    <t>Total Payment</t>
  </si>
  <si>
    <t>Debt Service Coverage Ratio*</t>
  </si>
  <si>
    <t>Interest Coverage Ratio*</t>
  </si>
  <si>
    <t>* Debt Service Coverage Ratio = Net Operating Income / Total Debt Service</t>
  </si>
  <si>
    <t>* Interest Coverage Ratio = EBIT / Interest Expense</t>
  </si>
  <si>
    <t>Interest Expense</t>
  </si>
  <si>
    <t>Total Fixed Production Costs</t>
  </si>
  <si>
    <t>Interest and Loan payback</t>
  </si>
  <si>
    <t>Drip Depreciation</t>
  </si>
  <si>
    <t>Total Production Revenue</t>
  </si>
  <si>
    <t>Value - Added</t>
  </si>
  <si>
    <t>dollars</t>
  </si>
  <si>
    <t>Annual Production Costs (without water or wages)</t>
  </si>
  <si>
    <t>= revenue - costs + wages</t>
  </si>
  <si>
    <t>Total Costs</t>
  </si>
  <si>
    <t>Benefit Summary: Increases in value-added from crop changes</t>
  </si>
  <si>
    <t>Moving from dry crops to fruit with drip irrigation</t>
  </si>
  <si>
    <t>Moving from dry crops to horticulture with drip irrigation</t>
  </si>
  <si>
    <t>Moving from sugar cane to horticulture with drip irrigation</t>
  </si>
  <si>
    <t>Moving from horticulture with traditional irrigation to horticulture with drip irrigation</t>
  </si>
  <si>
    <t>Farmgate price</t>
  </si>
  <si>
    <t>Sensitivities</t>
  </si>
  <si>
    <t>change from base case prices</t>
  </si>
  <si>
    <t>Annual interest rate</t>
  </si>
  <si>
    <t>Year 4</t>
  </si>
  <si>
    <t>Year 5</t>
  </si>
  <si>
    <t>Year 6</t>
  </si>
  <si>
    <t>Year 7</t>
  </si>
  <si>
    <t>Year 8</t>
  </si>
  <si>
    <t>Year 9</t>
  </si>
  <si>
    <t>Year 10</t>
  </si>
  <si>
    <t>Year 11</t>
  </si>
  <si>
    <t>Year 12</t>
  </si>
  <si>
    <t>Year 13</t>
  </si>
  <si>
    <t>Year 14</t>
  </si>
  <si>
    <t>Year 15</t>
  </si>
  <si>
    <t>Year 16</t>
  </si>
  <si>
    <t>Year 17</t>
  </si>
  <si>
    <t>Year 18</t>
  </si>
  <si>
    <t>Year 19</t>
  </si>
  <si>
    <t>Year 20</t>
  </si>
  <si>
    <t>TOTAL</t>
  </si>
  <si>
    <t>TOTAL PROGRAM</t>
  </si>
  <si>
    <t>BENEFIT/COST STREAM</t>
  </si>
  <si>
    <t>Watershed Management</t>
  </si>
  <si>
    <t>Financial Services</t>
  </si>
  <si>
    <t>TOTAL PROGRAM COSTS</t>
  </si>
  <si>
    <t>BY ISLAND</t>
  </si>
  <si>
    <t>Santiago, Principal</t>
  </si>
  <si>
    <t>Fogo, Mosteiros</t>
  </si>
  <si>
    <t>Santo Antao, Paul</t>
  </si>
  <si>
    <t>Sau Nicolau, Faja</t>
  </si>
  <si>
    <t>% of Total Cost</t>
  </si>
  <si>
    <t>Total Cost</t>
  </si>
  <si>
    <t>CV Contributions</t>
  </si>
  <si>
    <t>Number of Hectares to be Affected</t>
  </si>
  <si>
    <t>Santiago</t>
  </si>
  <si>
    <t>Santo Antao</t>
  </si>
  <si>
    <t>Sau Nicolau</t>
  </si>
  <si>
    <t>Fogo</t>
  </si>
  <si>
    <t>Total hectares by island</t>
  </si>
  <si>
    <t>SANTIAGO</t>
  </si>
  <si>
    <t>SANTO ANTAO</t>
  </si>
  <si>
    <t>SAO NICOLAU</t>
  </si>
  <si>
    <t>FOGO</t>
  </si>
  <si>
    <t>the interest rate</t>
  </si>
  <si>
    <t>(from 'ERR' Worksheet)</t>
  </si>
  <si>
    <t>times the loan fund</t>
  </si>
  <si>
    <t>(from 'Program Costs' Worksheet)</t>
  </si>
  <si>
    <t xml:space="preserve">which is </t>
  </si>
  <si>
    <t>Exchange rate</t>
  </si>
  <si>
    <t>escudos to the dollar</t>
  </si>
  <si>
    <t>The details of how each group of benefit streams is calculated can be found in the worksheets that correspond to those benefit streams.</t>
  </si>
  <si>
    <t>MFIs</t>
  </si>
  <si>
    <t>10 hectares</t>
  </si>
  <si>
    <t>Year 0</t>
  </si>
  <si>
    <t>Year 21</t>
  </si>
  <si>
    <t>Year 22</t>
  </si>
  <si>
    <t>Year 23</t>
  </si>
  <si>
    <t>Year 24</t>
  </si>
  <si>
    <t>Year 25</t>
  </si>
  <si>
    <t>Year 26</t>
  </si>
  <si>
    <t>Year 27</t>
  </si>
  <si>
    <t>Year 28</t>
  </si>
  <si>
    <t>Year 29</t>
  </si>
  <si>
    <t>Year 30</t>
  </si>
  <si>
    <t>Profit per hectare</t>
  </si>
  <si>
    <t>Wage expenditure per hectare</t>
  </si>
  <si>
    <t>Value-added per hectare</t>
  </si>
  <si>
    <t>Total (10 hectares)</t>
  </si>
  <si>
    <t>escudos</t>
  </si>
  <si>
    <t>Plant substitution</t>
  </si>
  <si>
    <t>(yield up to 1500 k/ha at the peak, like new ones)</t>
  </si>
  <si>
    <t>Baseline</t>
  </si>
  <si>
    <t>Improved varieties of coffee</t>
  </si>
  <si>
    <t>(yield up from 350 k/ha to 800 k/ha in 8 years)</t>
  </si>
  <si>
    <t>Increase in production costs</t>
  </si>
  <si>
    <t>Change in production Value</t>
  </si>
  <si>
    <t>Change in costs</t>
  </si>
  <si>
    <t>Cost/Benefit Stream</t>
  </si>
  <si>
    <t>for drip irrigation loans</t>
  </si>
  <si>
    <t>Ag Development Services</t>
  </si>
  <si>
    <t>% of Total Cost with CV Contributions</t>
  </si>
  <si>
    <t>The benefit stream is simply the number of hectares affected multiplied by the increase in value-added, as shown below.</t>
  </si>
  <si>
    <t>annually by year 4.</t>
  </si>
  <si>
    <t>the total returns to the business</t>
  </si>
  <si>
    <t>minus the interest paid to the MFI</t>
  </si>
  <si>
    <t>The returns to the agribusiness sector from the loan fund can be calculated as the following:</t>
  </si>
  <si>
    <t>results in this % of retained earnings</t>
  </si>
  <si>
    <t>This rate of retained earnings is multiplied by the loan fund</t>
  </si>
  <si>
    <t>to get the dollar return to the businesses</t>
  </si>
  <si>
    <t>Benefit Stream by Island</t>
  </si>
  <si>
    <t>Total</t>
  </si>
  <si>
    <r>
      <t xml:space="preserve">The following numbers in </t>
    </r>
    <r>
      <rPr>
        <sz val="10"/>
        <color indexed="12"/>
        <rFont val="Arial"/>
        <family val="2"/>
      </rPr>
      <t>blue</t>
    </r>
    <r>
      <rPr>
        <sz val="10"/>
        <rFont val="Arial"/>
        <family val="2"/>
      </rPr>
      <t xml:space="preserve"> can be changed to see how the return is impacted by different assumptions, but those assumptions do NOT apply to the streams of benefits related to coffee.</t>
    </r>
  </si>
  <si>
    <t>Value-added per hectare is defined as the following: revenue - costs + wages paid</t>
  </si>
  <si>
    <t>CROP</t>
  </si>
  <si>
    <t>VALUE-ADDED</t>
  </si>
  <si>
    <t>Number of hectares affected</t>
  </si>
  <si>
    <t>change from base case</t>
  </si>
  <si>
    <t>Increase in costs</t>
  </si>
  <si>
    <t>Total Costs dollars</t>
  </si>
  <si>
    <t>Total Production Rev dollars</t>
  </si>
  <si>
    <t>Inflation rate</t>
  </si>
  <si>
    <t>Port</t>
  </si>
  <si>
    <t>Roads</t>
  </si>
  <si>
    <t>minus the default rate</t>
  </si>
  <si>
    <t>The annual value-added to micro-finance institutions (MFIs) is estimated at</t>
  </si>
  <si>
    <t>Road</t>
  </si>
  <si>
    <t>Inflation</t>
  </si>
  <si>
    <t>Admin/M&amp;E Costs</t>
  </si>
  <si>
    <t>These are REAL costs.</t>
  </si>
  <si>
    <t>on Fogo</t>
  </si>
  <si>
    <t>Annual Profit</t>
  </si>
  <si>
    <t>Admin/M&amp;E costs</t>
  </si>
  <si>
    <t>S. Antao</t>
  </si>
  <si>
    <t>S. Nicolau</t>
  </si>
  <si>
    <t>Santo Antao Costs</t>
  </si>
  <si>
    <t>4 Island ERR</t>
  </si>
  <si>
    <t>Sao Nicolau Costs</t>
  </si>
  <si>
    <t xml:space="preserve">Santo Antao MFI Benefits </t>
  </si>
  <si>
    <t>Santo Antao Agribusiness Benefits</t>
  </si>
  <si>
    <t xml:space="preserve">Sao Nicolau MFI Benefits </t>
  </si>
  <si>
    <t>Sao Nicolau Agribusiness Benefits</t>
  </si>
  <si>
    <t>Sao Nicolau Drip Benefits (details below)</t>
  </si>
  <si>
    <t>FOGO - ONLY HORTICULTURE</t>
  </si>
  <si>
    <t>Total costs for SA, SN, Fogo</t>
  </si>
  <si>
    <t>THESE FIGURES WERE USED FOR THE RETURNS WITH THE ORIGINAL FOUR ISLANDS</t>
  </si>
  <si>
    <t>THESE FIGURES ARE FOR THE RETURNS WITH THE FINAL THREE ISLANDS</t>
  </si>
  <si>
    <t>YEAR 1</t>
  </si>
  <si>
    <t>YEAR 2</t>
  </si>
  <si>
    <t>YEAR 3</t>
  </si>
  <si>
    <t>YEAR 4</t>
  </si>
  <si>
    <t>YEAR 5</t>
  </si>
  <si>
    <t>M&amp;E</t>
  </si>
  <si>
    <t>Admin</t>
  </si>
  <si>
    <t>Total Admin</t>
  </si>
  <si>
    <t>Ag</t>
  </si>
  <si>
    <t>Roads 3 and 5</t>
  </si>
  <si>
    <t>Partnership</t>
  </si>
  <si>
    <t>Financial Reform</t>
  </si>
  <si>
    <t>Total Program</t>
  </si>
  <si>
    <t>Percentage of Admin Cost</t>
  </si>
  <si>
    <t>Paul</t>
  </si>
  <si>
    <t>Faja</t>
  </si>
  <si>
    <t>Mosteiros</t>
  </si>
  <si>
    <t>Hectares Irrigated</t>
  </si>
  <si>
    <t>Percentage of CV Contributions</t>
  </si>
  <si>
    <t>Feeder Road</t>
  </si>
  <si>
    <t>INPUTS</t>
  </si>
  <si>
    <t>All Activities</t>
  </si>
  <si>
    <t>Fogo Drip Benefits (details below)</t>
  </si>
  <si>
    <t xml:space="preserve">Fogo MFI Benefits </t>
  </si>
  <si>
    <t>Fogo Agribusiness Benefits</t>
  </si>
  <si>
    <t>Fogo Costs</t>
  </si>
  <si>
    <t>3 Island ERR</t>
  </si>
  <si>
    <t>OLD FIGURES</t>
  </si>
  <si>
    <t>FOR INVESTMENT MEMO</t>
  </si>
  <si>
    <t>Santo Antao Drip Benefits (details below)</t>
  </si>
  <si>
    <t>Benefits</t>
  </si>
  <si>
    <t>Benefits - drip</t>
  </si>
  <si>
    <t>Benefits - Agribusiness/MFI</t>
  </si>
  <si>
    <t>on Sao Nicolau</t>
  </si>
  <si>
    <t>with traditional (on Santo Antao)</t>
  </si>
  <si>
    <t>with drip irrigation (on Santo Antao)</t>
  </si>
  <si>
    <t>on Santo Antao</t>
  </si>
  <si>
    <t xml:space="preserve">Moving from dry crops to horticulture with drip irrigation </t>
  </si>
  <si>
    <t xml:space="preserve">Moving from horticulture with traditional irrigation to horticulture with drip irrigation </t>
  </si>
  <si>
    <t>Moving from sugar cane to horticulture with drip irrigation (only Santo Antao)</t>
  </si>
  <si>
    <t>with traditional (Santo Antao)</t>
  </si>
  <si>
    <t>with drip irrigation (Santo Antao)</t>
  </si>
  <si>
    <t>The exchange rate on the 'Ag ERR' worksheet is NOT linked into these program costs.</t>
  </si>
  <si>
    <t>Water tariffs</t>
  </si>
  <si>
    <t>ERR and sensitivity analysis</t>
  </si>
  <si>
    <t>Description of key parameters</t>
  </si>
  <si>
    <t>Parameter values</t>
  </si>
  <si>
    <t>Values used in ERR computation</t>
  </si>
  <si>
    <t>Recommended range</t>
  </si>
  <si>
    <t>Economic rate of return (ERR):</t>
  </si>
  <si>
    <t>Cape Verde: Watershed Resources Management Project</t>
  </si>
  <si>
    <t>Exchange rate (Cape Verde escudos/US dollar)</t>
  </si>
  <si>
    <t>74 - 94</t>
  </si>
  <si>
    <t>Economic Rate of Return</t>
  </si>
  <si>
    <t>Total Program Costs - Estimates</t>
  </si>
  <si>
    <t>Administration Costs</t>
  </si>
  <si>
    <t>Benefit Streams for Horticulture/Fruit</t>
  </si>
  <si>
    <t>Default rate of loans</t>
  </si>
  <si>
    <t>Annual interest rate for drip irrigation loans</t>
  </si>
  <si>
    <t>Microfinance Institution Benefits</t>
  </si>
  <si>
    <t>Agribusiness Benefits</t>
  </si>
  <si>
    <t>Coffee Benefits</t>
  </si>
  <si>
    <t>Value Added</t>
  </si>
  <si>
    <t>ERR &amp; Sensitivity Analysis</t>
  </si>
  <si>
    <t>Admin Costs</t>
  </si>
  <si>
    <t>Ag ERR</t>
  </si>
  <si>
    <t>Program Costs</t>
  </si>
  <si>
    <t>Horticulture</t>
  </si>
  <si>
    <t>Agribusiness</t>
  </si>
  <si>
    <t>Coffee</t>
  </si>
  <si>
    <t>Value-Added</t>
  </si>
  <si>
    <t>Financial Model</t>
  </si>
  <si>
    <t>Crop Data</t>
  </si>
  <si>
    <t>Shows the value added to crop production by drip irrigation.</t>
  </si>
  <si>
    <t>this can be changed on the 'ERR &amp; Sensitivity Analysis' Worksheet</t>
  </si>
  <si>
    <t>Contains a detailed financial model for the lending program.</t>
  </si>
  <si>
    <t>Technical data on the crops affected by the intervention.</t>
  </si>
  <si>
    <t>A brief summary of the project's key parameters and ERR calculations.</t>
  </si>
  <si>
    <t>Breakdown of the compact's administration costs by project.</t>
  </si>
  <si>
    <t>Project name</t>
  </si>
  <si>
    <t>Amount of MCC funds</t>
  </si>
  <si>
    <t>Estimated ERR and time horizon</t>
  </si>
  <si>
    <t>at least 9% over 20 years</t>
  </si>
  <si>
    <t>Benefit streams included in ERR</t>
  </si>
  <si>
    <t>Costs included in ERR (other than costs borne by MCC)</t>
  </si>
  <si>
    <t>N/A</t>
  </si>
  <si>
    <t>Project description</t>
  </si>
  <si>
    <t>The Project will involve the construction of physical infrastructures such as reservoirs, terraces and dikes to slow and capture water; improve the technical capacity of farmers, small agribusinesses and local municipalities through technical assistance and training; support processing and marketing efforts; and increase access to financial services in these areas. This Project will address the impact of pests by providing technical assistance to build institutional capacity of the Ministry of Environment, Agriculture and Fisheries (MAAP) to implement sanitary and phytosanitary regulations (including a plant inspection and certification system), establish an inspection and certification unit on the hardest hit island to inspect and certify goods as pest-free (allowing free movement of goods around the country), and establish a research center to conduct research on pest control best practices and develop pest resistant varieties.</t>
  </si>
  <si>
    <t>The Project includes the following three Activities:</t>
  </si>
  <si>
    <t>• Agribusiness Development Services: Establishment of demonstration farms, extension training and technical assistance targeted to improve the technical capacity of farmers, support processing and marketing efforts of agribusinesses.</t>
  </si>
  <si>
    <t>• Access to Credit: Provision of credit for drip irrigation, working capital and agribusiness investments.</t>
  </si>
  <si>
    <t>Benefits to micro-finance institutions making loans to farmers</t>
  </si>
  <si>
    <t>Benefits to non-drip farmers from technical assistance in packing, shipping, and marketing</t>
  </si>
  <si>
    <t>Spreadsheet version</t>
  </si>
  <si>
    <t>Date</t>
  </si>
  <si>
    <t>Investment memo, final</t>
  </si>
  <si>
    <t>Worksheets in this file</t>
  </si>
  <si>
    <t>Cost tables by project component for each location.</t>
  </si>
  <si>
    <t>Calculates the benefits to the agribusiness sector resulting from the increased production enabled by greater access to investment capital.</t>
  </si>
  <si>
    <t>Calculates the benefits to the coffee sector from switching to higher quality bean varieties and additional hectares cultivated.</t>
  </si>
  <si>
    <t>Increased farmer income per hectare from switching to cash crops (horticulture and fruit grown on drip irrigated land)</t>
  </si>
  <si>
    <t xml:space="preserve">The worksheet summarizes the costs and benefits associated with MCC investments. Benefits are detailed by project component and by year, and the associated ERR is computed over a 20-year time period.  </t>
  </si>
  <si>
    <t>• Water Management and Soil Conservation: Construction of physical infrastructure to slow runoff, capture water in reservoirs, and re-charge aquifers, as well as capacity building of community-based watershed management.</t>
  </si>
  <si>
    <t>Benefits to agribusinesses from Agribusiness Development Services</t>
  </si>
  <si>
    <t>Calculates the project benefits to the farmers from switching to cash crops, in terms of value-added (revenue - costs + wages paid)</t>
  </si>
  <si>
    <t>This sheet shows the benefits to microfinance institutions resulting from increased earnings on loans.</t>
  </si>
  <si>
    <t>8% - 16%</t>
  </si>
  <si>
    <t>3% - 10%</t>
  </si>
  <si>
    <t>0% - 10%</t>
  </si>
  <si>
    <t>0% - 15%</t>
  </si>
  <si>
    <t>0% -10%</t>
  </si>
  <si>
    <t>10% - 40%</t>
  </si>
  <si>
    <t>Returns to agribusiness (profitability of each additional dollar of investment)</t>
  </si>
  <si>
    <t>Change in farmgate price (from base case)</t>
  </si>
  <si>
    <t>Change in number of hectare affected (from base case)</t>
  </si>
  <si>
    <t>Change in water tariffs (from base case)</t>
  </si>
  <si>
    <t>Cape Verde Watershed and Agricultural Support Project</t>
  </si>
  <si>
    <t>Project Description</t>
  </si>
  <si>
    <t>Summary</t>
  </si>
  <si>
    <t>Components</t>
  </si>
  <si>
    <t>Economic Rationale</t>
  </si>
  <si>
    <t xml:space="preserve">The Watershed Management and Agricultural Support Project addresses key rural poverty and economic growth constraints.  Improved management of critical water resources with the mobilization of key agricultural support activities (research, extension and marketing) will enable rural agricultural producers to improve their environment, increase their productivity, raise their incomes and begin the climb out of poverty.  The Watershed Management and Agricultural Support Project has prioritized interventions and Project Activities for those areas that will have the highest potential impact on poverty reduction and economic growth.  In addition, the activities lay the ground work for the future expansion in the agricultural and rural sector.    </t>
  </si>
  <si>
    <t xml:space="preserve">Currently, most producers in the watersheds are subsistence level farmers with limited commercialization of fruits and vegetables.  Post-harvest losses are high and packaging and transportation linkages are lacking.  The Project intends to support adoption of drip irrigation and conversion to horticultural production, supported by research and extension training and increased availability of credit with initial downstream marketing support.  This is a proven development model when attention is paid to the weakest links in the system.  In the three watersheds, design attention was focused on what was considered to be the limiting constraints (water management, research and training, and marketing). </t>
  </si>
  <si>
    <t xml:space="preserve">With the provision of water to the farm gate as a public good (meaning that individual farmers are not required to directly pay for the infrastructure investment costs) the conversion to horticultural production can be very profitable.  To estimate the economic benefit of converting to drip irrigation, the value-added for one hectare was calculated.  The analysis shows that farmers and farm workers will benefit significantly from switching to horticulture and using drip irrigation.  Farmers use less water per cycle with the drip method, and are able to increase the number of production cycles per year from one to two and possibly three.  In addition, yields per cycle increase with the use of drip, because the plants receive a more pinpointed application of fertilizer and water.  There are a number of important assumptions and limitations with this model, including the rate of adoption of drip irrigation by farmers, output prices’ remaining stable, and all output being sold.  However, the results indicate that the adoption of drip irrigation can have a significant impact on farm level income. </t>
  </si>
  <si>
    <t xml:space="preserve">There are a number of market constraints. For example, there is currently very little use of chemical fertilizer and pesticides.  No private fertilizer or pesticide dealer is making the efforts to market in the remote watersheds with a low subsistence level population.  The conversion to horticulture is not dependent upon provision of these inputs but as the value of production increases, it is expected that there will be a private sector response to increase the supply of inputs in the watersheds.  On the output side, there are a number of marketing constraints for which the project has proposed interventions.  Improving the quality standards and packaging are two initial steps.  The Project aims to create the critical mass of production which will induce greater private sector participation in marketing efforts.  </t>
  </si>
  <si>
    <t xml:space="preserve">In addition, as production increases, the Project will support the diversification of marketing options by the provision of credit and technical assistance to encourage further value added processing.  For example, in the Paul watershed on Santo Antão, at certain times of the year, there are excessive supplies of fruits (particularly those that ripen at once) and widely available sugar.  With some small investments to purchase processing equipment and jars, the fruit can be transformed into jam or jelly.  The Project will support technical training to people who are willing to invest in processing activities. </t>
  </si>
  <si>
    <t>Last updated:  5/9/2005</t>
  </si>
  <si>
    <t>Parameter type</t>
  </si>
  <si>
    <t>User Input</t>
  </si>
  <si>
    <t>MCC Estimate</t>
  </si>
  <si>
    <t>Actual costs as a percentage of estimated costs</t>
  </si>
  <si>
    <t>80 - 120%</t>
  </si>
  <si>
    <t>Actual benefits as a percentage of estimated benefits</t>
  </si>
  <si>
    <r>
      <t>Change the "</t>
    </r>
    <r>
      <rPr>
        <sz val="10"/>
        <color indexed="12"/>
        <rFont val="Arial"/>
        <family val="2"/>
      </rPr>
      <t>User Input</t>
    </r>
    <r>
      <rPr>
        <sz val="10"/>
        <rFont val="Arial"/>
        <family val="0"/>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0"/>
      </rPr>
      <t>" button at right.  Be sure to reset all summary parameters to their original values ("MCC Estimate" values) before changing specific parameters.</t>
    </r>
  </si>
  <si>
    <t>Specific</t>
  </si>
  <si>
    <t>All summary parameters set to initial values?</t>
  </si>
  <si>
    <t xml:space="preserve">   More Info</t>
  </si>
  <si>
    <r>
      <t xml:space="preserve">   </t>
    </r>
    <r>
      <rPr>
        <u val="single"/>
        <sz val="10"/>
        <color indexed="12"/>
        <rFont val="Arial"/>
        <family val="0"/>
      </rPr>
      <t>Project Description</t>
    </r>
  </si>
  <si>
    <r>
      <t xml:space="preserve">   </t>
    </r>
    <r>
      <rPr>
        <u val="single"/>
        <sz val="10"/>
        <color indexed="12"/>
        <rFont val="Arial"/>
        <family val="0"/>
      </rPr>
      <t>User's Guide</t>
    </r>
  </si>
  <si>
    <r>
      <t xml:space="preserve">MCC Estimated ERR </t>
    </r>
    <r>
      <rPr>
        <b/>
        <sz val="8"/>
        <rFont val="Arial"/>
        <family val="2"/>
      </rPr>
      <t>(as of 5/9/2005)</t>
    </r>
    <r>
      <rPr>
        <b/>
        <sz val="10"/>
        <rFont val="Arial"/>
        <family val="2"/>
      </rPr>
      <t>:</t>
    </r>
  </si>
  <si>
    <t>Cost Scenario</t>
  </si>
  <si>
    <t>Benefit Scenario</t>
  </si>
  <si>
    <t>Cape Verde: Watershed Management and Agricultural Support Project</t>
  </si>
  <si>
    <t>Watershed Management and Agricultural Support Project</t>
  </si>
  <si>
    <t>Although above distributional figure was not part of the Investment Memorandum (IM) ERR calculation, it reflects the best information available on parameters as of the IM (5/9/2005)</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</si>
</sst>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000"/>
    <numFmt numFmtId="168" formatCode="0.000000"/>
    <numFmt numFmtId="169" formatCode="0.00000"/>
    <numFmt numFmtId="170" formatCode="#,##0;[Red]#,##0"/>
    <numFmt numFmtId="171" formatCode="0_);[Red]\(0\)"/>
    <numFmt numFmtId="172" formatCode="&quot;Yes&quot;;&quot;Yes&quot;;&quot;No&quot;"/>
    <numFmt numFmtId="173" formatCode="&quot;True&quot;;&quot;True&quot;;&quot;False&quot;"/>
    <numFmt numFmtId="174" formatCode="&quot;On&quot;;&quot;On&quot;;&quot;Off&quot;"/>
    <numFmt numFmtId="175" formatCode="[$€-2]\ #,##0.00_);[Red]\([$€-2]\ #,##0.00\)"/>
    <numFmt numFmtId="176" formatCode="&quot;$&quot;#,##0"/>
    <numFmt numFmtId="177" formatCode="_(&quot;$&quot;* #,##0.0_);_(&quot;$&quot;* \(#,##0.0\);_(&quot;$&quot;* &quot;-&quot;??_);_(@_)"/>
    <numFmt numFmtId="178" formatCode="_(&quot;$&quot;* #,##0_);_(&quot;$&quot;* \(#,##0\);_(&quot;$&quot;* &quot;-&quot;??_);_(@_)"/>
    <numFmt numFmtId="179" formatCode="0.0%"/>
    <numFmt numFmtId="180" formatCode="_(* #,##0_);_(* \(#,##0\);_(* &quot;-&quot;??_);_(@_)"/>
    <numFmt numFmtId="181" formatCode="_(* #,##0.0_);_(* \(#,##0.0\);_(* &quot;-&quot;??_);_(@_)"/>
    <numFmt numFmtId="182" formatCode="#,##0.0000"/>
    <numFmt numFmtId="183" formatCode="#,##0.000"/>
    <numFmt numFmtId="184" formatCode="#,##0.0"/>
    <numFmt numFmtId="185" formatCode="0.000%"/>
    <numFmt numFmtId="186" formatCode="0.0000%"/>
    <numFmt numFmtId="187" formatCode="0.00000%"/>
    <numFmt numFmtId="188" formatCode="[$-409]h:mm:ss\ AM/PM"/>
    <numFmt numFmtId="189" formatCode="[$-409]dddd\,\ mmmm\ dd\,\ yyyy"/>
    <numFmt numFmtId="190" formatCode="00000"/>
    <numFmt numFmtId="191" formatCode="&quot;$&quot;#,##0.00"/>
    <numFmt numFmtId="192" formatCode="&quot;$&quot;#,##0.000"/>
    <numFmt numFmtId="193" formatCode="_(* #,##0.0_);_(* \(#,##0.0\);_(* &quot;-&quot;?_);_(@_)"/>
    <numFmt numFmtId="194" formatCode="_-* #,##0\ _€_-;\-* #,##0\ _€_-;_-* &quot;-&quot;??\ _€_-;_-@_-"/>
    <numFmt numFmtId="195" formatCode="m/d/yy\ h:mm"/>
    <numFmt numFmtId="196" formatCode="####0"/>
  </numFmts>
  <fonts count="25">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8"/>
      <name val="Tahoma"/>
      <family val="0"/>
    </font>
    <font>
      <b/>
      <sz val="8"/>
      <name val="Tahoma"/>
      <family val="0"/>
    </font>
    <font>
      <u val="single"/>
      <sz val="10"/>
      <name val="Arial"/>
      <family val="0"/>
    </font>
    <font>
      <sz val="14"/>
      <name val="Arial"/>
      <family val="2"/>
    </font>
    <font>
      <b/>
      <sz val="12"/>
      <name val="Arial"/>
      <family val="2"/>
    </font>
    <font>
      <sz val="10"/>
      <color indexed="12"/>
      <name val="Arial"/>
      <family val="2"/>
    </font>
    <font>
      <b/>
      <sz val="10"/>
      <color indexed="12"/>
      <name val="Arial"/>
      <family val="2"/>
    </font>
    <font>
      <b/>
      <sz val="10"/>
      <color indexed="9"/>
      <name val="Arial"/>
      <family val="2"/>
    </font>
    <font>
      <b/>
      <sz val="10.5"/>
      <name val="Arial"/>
      <family val="0"/>
    </font>
    <font>
      <sz val="10.5"/>
      <name val="Arial"/>
      <family val="0"/>
    </font>
    <font>
      <b/>
      <sz val="16"/>
      <name val="Arial"/>
      <family val="2"/>
    </font>
    <font>
      <b/>
      <sz val="18"/>
      <color indexed="32"/>
      <name val="Arial"/>
      <family val="2"/>
    </font>
    <font>
      <sz val="12"/>
      <name val="Arial"/>
      <family val="2"/>
    </font>
    <font>
      <sz val="10"/>
      <color indexed="8"/>
      <name val="Arial"/>
      <family val="2"/>
    </font>
    <font>
      <sz val="8"/>
      <color indexed="17"/>
      <name val="Arial"/>
      <family val="2"/>
    </font>
    <font>
      <sz val="10"/>
      <color indexed="23"/>
      <name val="Arial"/>
      <family val="2"/>
    </font>
    <font>
      <b/>
      <sz val="10"/>
      <color indexed="55"/>
      <name val="Arial"/>
      <family val="2"/>
    </font>
    <font>
      <sz val="10"/>
      <color indexed="9"/>
      <name val="Arial"/>
      <family val="2"/>
    </font>
    <font>
      <b/>
      <sz val="8"/>
      <name val="Arial"/>
      <family val="2"/>
    </font>
    <font>
      <b/>
      <u val="single"/>
      <sz val="10"/>
      <name val="Arial"/>
      <family val="2"/>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40">
    <border>
      <left/>
      <right/>
      <top/>
      <bottom/>
      <diagonal/>
    </border>
    <border>
      <left style="thin"/>
      <right>
        <color indexed="63"/>
      </right>
      <top>
        <color indexed="63"/>
      </top>
      <bottom style="thin"/>
    </border>
    <border>
      <left style="medium"/>
      <right style="medium"/>
      <top style="thin"/>
      <bottom style="thin"/>
    </border>
    <border>
      <left>
        <color indexed="63"/>
      </left>
      <right>
        <color indexed="63"/>
      </right>
      <top style="thin"/>
      <bottom style="thin"/>
    </border>
    <border>
      <left>
        <color indexed="63"/>
      </left>
      <right>
        <color indexed="63"/>
      </right>
      <top>
        <color indexed="63"/>
      </top>
      <bottom style="thin"/>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double"/>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color indexed="63"/>
      </top>
      <bottom style="double"/>
    </border>
    <border>
      <left style="medium"/>
      <right style="medium"/>
      <top style="medium"/>
      <bottom style="thin"/>
    </border>
    <border>
      <left style="medium"/>
      <right style="medium"/>
      <top>
        <color indexed="63"/>
      </top>
      <bottom style="medium"/>
    </border>
    <border>
      <left style="double"/>
      <right style="thin"/>
      <top style="double"/>
      <bottom style="double"/>
    </border>
    <border>
      <left style="double"/>
      <right style="thin"/>
      <top>
        <color indexed="63"/>
      </top>
      <bottom>
        <color indexed="63"/>
      </bottom>
    </border>
    <border>
      <left style="double"/>
      <right style="thin"/>
      <top style="thin"/>
      <bottom style="thin"/>
    </border>
    <border>
      <left style="double"/>
      <right style="thin"/>
      <top style="thin"/>
      <bottom>
        <color indexed="63"/>
      </bottom>
    </border>
    <border>
      <left>
        <color indexed="63"/>
      </left>
      <right style="double"/>
      <top style="double"/>
      <bottom style="double"/>
    </border>
    <border>
      <left>
        <color indexed="63"/>
      </left>
      <right style="double"/>
      <top>
        <color indexed="63"/>
      </top>
      <bottom>
        <color indexed="63"/>
      </bottom>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thin"/>
      <right style="double"/>
      <top style="thin"/>
      <bottom>
        <color indexed="63"/>
      </bottom>
    </border>
    <border>
      <left style="thin"/>
      <right style="double"/>
      <top>
        <color indexed="63"/>
      </top>
      <bottom>
        <color indexed="63"/>
      </bottom>
    </border>
    <border>
      <left style="double"/>
      <right style="thin"/>
      <top>
        <color indexed="63"/>
      </top>
      <bottom style="double"/>
    </border>
    <border>
      <left style="thin"/>
      <right style="double"/>
      <top>
        <color indexed="63"/>
      </top>
      <bottom style="double"/>
    </border>
    <border>
      <left style="double"/>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3">
    <xf numFmtId="0" fontId="0" fillId="0" borderId="0" xfId="0" applyAlignment="1">
      <alignment/>
    </xf>
    <xf numFmtId="38" fontId="0" fillId="0" borderId="0" xfId="0" applyNumberFormat="1" applyAlignment="1">
      <alignment/>
    </xf>
    <xf numFmtId="0" fontId="4" fillId="0" borderId="0" xfId="0" applyFont="1" applyAlignment="1">
      <alignment/>
    </xf>
    <xf numFmtId="0" fontId="0" fillId="0" borderId="0" xfId="0" applyFont="1" applyAlignment="1">
      <alignment/>
    </xf>
    <xf numFmtId="0" fontId="0" fillId="0" borderId="0" xfId="0" applyAlignment="1">
      <alignment horizontal="center"/>
    </xf>
    <xf numFmtId="38" fontId="4" fillId="2" borderId="1" xfId="0" applyNumberFormat="1" applyFont="1" applyFill="1" applyBorder="1" applyAlignment="1">
      <alignment/>
    </xf>
    <xf numFmtId="0" fontId="7" fillId="0" borderId="0" xfId="0" applyFont="1" applyAlignment="1">
      <alignment horizontal="center"/>
    </xf>
    <xf numFmtId="0" fontId="4" fillId="0" borderId="0" xfId="0" applyFont="1" applyAlignment="1">
      <alignment horizontal="center"/>
    </xf>
    <xf numFmtId="38" fontId="4" fillId="0" borderId="0" xfId="0" applyNumberFormat="1" applyFont="1" applyAlignment="1">
      <alignment/>
    </xf>
    <xf numFmtId="38" fontId="0" fillId="0" borderId="0" xfId="0" applyNumberFormat="1" applyFont="1" applyAlignment="1">
      <alignment/>
    </xf>
    <xf numFmtId="3" fontId="4" fillId="0" borderId="0" xfId="0" applyNumberFormat="1" applyFont="1" applyFill="1" applyBorder="1" applyAlignment="1">
      <alignment/>
    </xf>
    <xf numFmtId="0" fontId="9" fillId="0" borderId="0" xfId="0" applyFont="1" applyFill="1" applyAlignment="1">
      <alignment horizontal="left" wrapText="1"/>
    </xf>
    <xf numFmtId="0" fontId="9" fillId="0" borderId="0" xfId="0" applyFont="1" applyFill="1" applyAlignment="1">
      <alignment horizontal="center" wrapText="1"/>
    </xf>
    <xf numFmtId="0" fontId="9" fillId="0" borderId="0" xfId="0" applyFont="1" applyFill="1" applyAlignment="1">
      <alignment wrapText="1"/>
    </xf>
    <xf numFmtId="9" fontId="4" fillId="2" borderId="2" xfId="0" applyNumberFormat="1" applyFont="1" applyFill="1" applyBorder="1" applyAlignment="1">
      <alignment/>
    </xf>
    <xf numFmtId="9" fontId="4" fillId="2" borderId="3" xfId="0" applyNumberFormat="1" applyFont="1" applyFill="1" applyBorder="1" applyAlignment="1">
      <alignment/>
    </xf>
    <xf numFmtId="0" fontId="0" fillId="0" borderId="0" xfId="0" applyFont="1" applyFill="1" applyAlignment="1">
      <alignment horizontal="left"/>
    </xf>
    <xf numFmtId="0" fontId="0" fillId="0" borderId="0" xfId="0" applyFont="1" applyFill="1" applyAlignment="1">
      <alignment horizontal="right" wrapText="1"/>
    </xf>
    <xf numFmtId="0" fontId="4" fillId="0" borderId="3" xfId="0" applyFont="1" applyBorder="1" applyAlignment="1">
      <alignment/>
    </xf>
    <xf numFmtId="185" fontId="4" fillId="2" borderId="2" xfId="0" applyNumberFormat="1" applyFont="1" applyFill="1" applyBorder="1" applyAlignment="1">
      <alignment/>
    </xf>
    <xf numFmtId="186" fontId="4" fillId="2" borderId="2" xfId="0" applyNumberFormat="1" applyFont="1" applyFill="1" applyBorder="1" applyAlignment="1">
      <alignment/>
    </xf>
    <xf numFmtId="187" fontId="4" fillId="2" borderId="2" xfId="0" applyNumberFormat="1" applyFont="1" applyFill="1" applyBorder="1" applyAlignment="1">
      <alignment/>
    </xf>
    <xf numFmtId="9" fontId="4" fillId="2" borderId="4" xfId="0" applyNumberFormat="1" applyFont="1" applyFill="1" applyBorder="1" applyAlignment="1">
      <alignment/>
    </xf>
    <xf numFmtId="9" fontId="4" fillId="2" borderId="5" xfId="0" applyNumberFormat="1" applyFont="1" applyFill="1" applyBorder="1" applyAlignment="1">
      <alignment/>
    </xf>
    <xf numFmtId="185" fontId="4" fillId="2" borderId="5" xfId="0" applyNumberFormat="1" applyFont="1" applyFill="1" applyBorder="1" applyAlignment="1">
      <alignment/>
    </xf>
    <xf numFmtId="0" fontId="4" fillId="0" borderId="0" xfId="0" applyFont="1" applyAlignment="1">
      <alignment horizontal="left"/>
    </xf>
    <xf numFmtId="0" fontId="4" fillId="0" borderId="6" xfId="0" applyFont="1" applyBorder="1" applyAlignment="1">
      <alignment horizontal="center"/>
    </xf>
    <xf numFmtId="0" fontId="4" fillId="0" borderId="3" xfId="0" applyFont="1" applyBorder="1" applyAlignment="1">
      <alignment horizontal="center"/>
    </xf>
    <xf numFmtId="0" fontId="4" fillId="0" borderId="7" xfId="0" applyFont="1" applyBorder="1" applyAlignment="1">
      <alignment horizontal="center"/>
    </xf>
    <xf numFmtId="0" fontId="4" fillId="0" borderId="0" xfId="0" applyFont="1" applyAlignment="1">
      <alignment horizontal="right"/>
    </xf>
    <xf numFmtId="0" fontId="4" fillId="0" borderId="6" xfId="0" applyFont="1" applyFill="1" applyBorder="1" applyAlignment="1">
      <alignment horizontal="left"/>
    </xf>
    <xf numFmtId="0" fontId="4" fillId="0" borderId="8" xfId="0" applyFont="1" applyFill="1" applyBorder="1" applyAlignment="1">
      <alignment/>
    </xf>
    <xf numFmtId="0" fontId="4" fillId="0" borderId="3" xfId="0" applyFont="1" applyFill="1" applyBorder="1" applyAlignment="1">
      <alignment/>
    </xf>
    <xf numFmtId="0" fontId="4" fillId="0" borderId="9" xfId="0" applyFont="1" applyFill="1" applyBorder="1" applyAlignment="1">
      <alignment/>
    </xf>
    <xf numFmtId="0" fontId="4" fillId="0" borderId="7" xfId="0" applyFont="1" applyFill="1" applyBorder="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3" xfId="0" applyFont="1" applyFill="1" applyBorder="1" applyAlignment="1">
      <alignment horizontal="center"/>
    </xf>
    <xf numFmtId="0" fontId="4" fillId="0" borderId="0" xfId="0" applyFont="1" applyFill="1" applyBorder="1" applyAlignment="1">
      <alignment horizontal="center"/>
    </xf>
    <xf numFmtId="0" fontId="4" fillId="0" borderId="11" xfId="0" applyFont="1" applyFill="1" applyBorder="1" applyAlignment="1">
      <alignment/>
    </xf>
    <xf numFmtId="178" fontId="4" fillId="0" borderId="3" xfId="17" applyNumberFormat="1" applyFont="1" applyFill="1" applyBorder="1" applyAlignment="1">
      <alignment/>
    </xf>
    <xf numFmtId="178" fontId="4" fillId="0" borderId="0" xfId="17" applyNumberFormat="1" applyFont="1" applyFill="1" applyBorder="1" applyAlignment="1">
      <alignment/>
    </xf>
    <xf numFmtId="178" fontId="4" fillId="0" borderId="4" xfId="17"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0" fontId="0" fillId="0" borderId="11" xfId="0" applyFont="1" applyFill="1" applyBorder="1" applyAlignment="1">
      <alignment/>
    </xf>
    <xf numFmtId="0" fontId="4" fillId="0" borderId="1" xfId="0" applyFont="1" applyFill="1" applyBorder="1" applyAlignment="1">
      <alignment/>
    </xf>
    <xf numFmtId="179" fontId="4" fillId="0" borderId="14" xfId="0" applyNumberFormat="1" applyFont="1" applyFill="1" applyBorder="1" applyAlignment="1">
      <alignment/>
    </xf>
    <xf numFmtId="0" fontId="4" fillId="0" borderId="8" xfId="0" applyFont="1" applyBorder="1" applyAlignment="1">
      <alignment/>
    </xf>
    <xf numFmtId="0" fontId="4" fillId="0" borderId="15" xfId="0" applyFont="1" applyBorder="1" applyAlignment="1">
      <alignment horizontal="center"/>
    </xf>
    <xf numFmtId="0" fontId="4" fillId="0" borderId="8" xfId="0" applyFont="1" applyBorder="1" applyAlignment="1">
      <alignment horizontal="center"/>
    </xf>
    <xf numFmtId="0" fontId="4" fillId="2" borderId="16" xfId="0" applyFont="1" applyFill="1" applyBorder="1" applyAlignment="1">
      <alignment/>
    </xf>
    <xf numFmtId="180" fontId="4" fillId="2" borderId="16" xfId="15" applyNumberFormat="1" applyFont="1" applyFill="1" applyBorder="1" applyAlignment="1">
      <alignment/>
    </xf>
    <xf numFmtId="180" fontId="4" fillId="2" borderId="14" xfId="15" applyNumberFormat="1" applyFont="1" applyFill="1" applyBorder="1" applyAlignment="1">
      <alignment/>
    </xf>
    <xf numFmtId="38" fontId="4" fillId="2" borderId="11" xfId="0" applyNumberFormat="1" applyFont="1" applyFill="1" applyBorder="1" applyAlignment="1">
      <alignment/>
    </xf>
    <xf numFmtId="38" fontId="4" fillId="2" borderId="17" xfId="0" applyNumberFormat="1" applyFont="1" applyFill="1" applyBorder="1" applyAlignment="1">
      <alignment/>
    </xf>
    <xf numFmtId="38" fontId="4" fillId="2" borderId="18" xfId="0" applyNumberFormat="1" applyFont="1" applyFill="1" applyBorder="1" applyAlignment="1">
      <alignment/>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wrapText="1"/>
    </xf>
    <xf numFmtId="0" fontId="4" fillId="2" borderId="17" xfId="0" applyFont="1" applyFill="1" applyBorder="1" applyAlignment="1">
      <alignment horizontal="center" wrapText="1"/>
    </xf>
    <xf numFmtId="0" fontId="4" fillId="0" borderId="17" xfId="0" applyFont="1" applyBorder="1" applyAlignment="1">
      <alignment wrapText="1"/>
    </xf>
    <xf numFmtId="0" fontId="4" fillId="0" borderId="6" xfId="0" applyFont="1" applyBorder="1" applyAlignment="1">
      <alignment/>
    </xf>
    <xf numFmtId="0" fontId="4" fillId="0" borderId="12" xfId="0" applyFont="1" applyFill="1" applyBorder="1" applyAlignment="1">
      <alignment/>
    </xf>
    <xf numFmtId="38" fontId="4" fillId="0" borderId="9" xfId="0" applyNumberFormat="1" applyFont="1" applyFill="1" applyBorder="1" applyAlignment="1">
      <alignment/>
    </xf>
    <xf numFmtId="38" fontId="4" fillId="0" borderId="12" xfId="0" applyNumberFormat="1" applyFont="1" applyFill="1" applyBorder="1" applyAlignment="1">
      <alignment/>
    </xf>
    <xf numFmtId="38" fontId="4" fillId="0" borderId="13" xfId="0" applyNumberFormat="1" applyFont="1" applyFill="1" applyBorder="1" applyAlignment="1">
      <alignment/>
    </xf>
    <xf numFmtId="38" fontId="0" fillId="0" borderId="11" xfId="0" applyNumberFormat="1" applyFont="1" applyFill="1" applyBorder="1" applyAlignment="1">
      <alignment/>
    </xf>
    <xf numFmtId="0" fontId="4" fillId="0" borderId="4" xfId="0" applyFont="1" applyFill="1" applyBorder="1" applyAlignment="1">
      <alignment/>
    </xf>
    <xf numFmtId="38" fontId="4" fillId="0" borderId="1" xfId="0" applyNumberFormat="1" applyFont="1" applyFill="1" applyBorder="1" applyAlignment="1">
      <alignment/>
    </xf>
    <xf numFmtId="38" fontId="4" fillId="0" borderId="4" xfId="0" applyNumberFormat="1" applyFont="1" applyFill="1" applyBorder="1" applyAlignment="1">
      <alignment/>
    </xf>
    <xf numFmtId="38" fontId="4" fillId="0" borderId="14" xfId="0" applyNumberFormat="1" applyFont="1" applyFill="1" applyBorder="1" applyAlignment="1">
      <alignment/>
    </xf>
    <xf numFmtId="0" fontId="4" fillId="0" borderId="16" xfId="0" applyFont="1" applyFill="1" applyBorder="1" applyAlignment="1">
      <alignment/>
    </xf>
    <xf numFmtId="2" fontId="4" fillId="0" borderId="11" xfId="0" applyNumberFormat="1" applyFont="1" applyFill="1" applyBorder="1" applyAlignment="1">
      <alignment/>
    </xf>
    <xf numFmtId="2" fontId="4" fillId="0" borderId="0" xfId="0" applyNumberFormat="1" applyFont="1" applyFill="1" applyBorder="1" applyAlignment="1">
      <alignment/>
    </xf>
    <xf numFmtId="2" fontId="4" fillId="0" borderId="16" xfId="0" applyNumberFormat="1" applyFont="1" applyFill="1" applyBorder="1" applyAlignment="1">
      <alignment/>
    </xf>
    <xf numFmtId="2" fontId="4" fillId="0" borderId="0" xfId="0" applyNumberFormat="1" applyFont="1" applyFill="1" applyAlignment="1">
      <alignment/>
    </xf>
    <xf numFmtId="0" fontId="4" fillId="0" borderId="14" xfId="0" applyFont="1" applyFill="1" applyBorder="1" applyAlignment="1">
      <alignment/>
    </xf>
    <xf numFmtId="2" fontId="4" fillId="0" borderId="1" xfId="0" applyNumberFormat="1" applyFont="1" applyFill="1" applyBorder="1" applyAlignment="1">
      <alignment/>
    </xf>
    <xf numFmtId="2" fontId="4" fillId="0" borderId="4" xfId="0" applyNumberFormat="1" applyFont="1" applyFill="1" applyBorder="1" applyAlignment="1">
      <alignment/>
    </xf>
    <xf numFmtId="2" fontId="4" fillId="0" borderId="14" xfId="0" applyNumberFormat="1" applyFont="1" applyFill="1" applyBorder="1" applyAlignment="1">
      <alignment/>
    </xf>
    <xf numFmtId="0" fontId="15" fillId="0" borderId="0" xfId="0" applyFont="1" applyAlignment="1">
      <alignment/>
    </xf>
    <xf numFmtId="0" fontId="16" fillId="0" borderId="0" xfId="0" applyFont="1" applyAlignment="1">
      <alignment/>
    </xf>
    <xf numFmtId="0" fontId="8" fillId="0" borderId="0" xfId="0" applyFont="1" applyAlignment="1">
      <alignment/>
    </xf>
    <xf numFmtId="0" fontId="0" fillId="0" borderId="9" xfId="0" applyFont="1" applyBorder="1" applyAlignment="1">
      <alignment/>
    </xf>
    <xf numFmtId="0" fontId="0" fillId="0" borderId="11" xfId="0" applyFont="1" applyBorder="1" applyAlignment="1">
      <alignment/>
    </xf>
    <xf numFmtId="0" fontId="0" fillId="0" borderId="1" xfId="0" applyFont="1" applyFill="1" applyBorder="1" applyAlignment="1">
      <alignment/>
    </xf>
    <xf numFmtId="10" fontId="0" fillId="0" borderId="0" xfId="0" applyNumberFormat="1" applyFont="1" applyAlignment="1">
      <alignment/>
    </xf>
    <xf numFmtId="0" fontId="0" fillId="0" borderId="0" xfId="0" applyFont="1" applyFill="1" applyAlignment="1">
      <alignment/>
    </xf>
    <xf numFmtId="10" fontId="0" fillId="0" borderId="0" xfId="21" applyNumberFormat="1" applyFont="1" applyFill="1" applyAlignment="1">
      <alignment/>
    </xf>
    <xf numFmtId="0" fontId="10" fillId="0" borderId="0" xfId="0" applyFont="1" applyFill="1" applyAlignment="1">
      <alignment/>
    </xf>
    <xf numFmtId="0" fontId="0" fillId="0" borderId="0" xfId="0" applyFont="1" applyAlignment="1">
      <alignment horizontal="right"/>
    </xf>
    <xf numFmtId="9" fontId="10" fillId="0" borderId="0" xfId="0" applyNumberFormat="1" applyFont="1" applyAlignment="1">
      <alignment/>
    </xf>
    <xf numFmtId="179" fontId="0" fillId="0" borderId="16" xfId="0" applyNumberFormat="1" applyFont="1" applyFill="1" applyBorder="1" applyAlignment="1">
      <alignment/>
    </xf>
    <xf numFmtId="0" fontId="0" fillId="0" borderId="0" xfId="0" applyFont="1" applyAlignment="1">
      <alignment horizontal="right" wrapText="1"/>
    </xf>
    <xf numFmtId="0" fontId="0" fillId="0" borderId="0" xfId="0" applyFont="1" applyAlignment="1">
      <alignment wrapText="1"/>
    </xf>
    <xf numFmtId="0" fontId="0" fillId="0" borderId="0" xfId="0" applyFont="1" applyFill="1" applyAlignment="1">
      <alignment wrapText="1"/>
    </xf>
    <xf numFmtId="0" fontId="0" fillId="0" borderId="15" xfId="0" applyFont="1" applyFill="1" applyBorder="1" applyAlignment="1">
      <alignment wrapText="1"/>
    </xf>
    <xf numFmtId="0" fontId="0" fillId="0" borderId="13" xfId="0" applyFont="1" applyFill="1" applyBorder="1" applyAlignment="1">
      <alignment/>
    </xf>
    <xf numFmtId="0" fontId="0" fillId="0" borderId="15" xfId="0" applyFont="1" applyFill="1" applyBorder="1" applyAlignment="1">
      <alignment/>
    </xf>
    <xf numFmtId="0" fontId="0" fillId="0" borderId="0" xfId="0" applyFont="1" applyFill="1" applyBorder="1" applyAlignment="1">
      <alignment wrapText="1"/>
    </xf>
    <xf numFmtId="0" fontId="0" fillId="2" borderId="4" xfId="0" applyFont="1" applyFill="1" applyBorder="1" applyAlignment="1">
      <alignment/>
    </xf>
    <xf numFmtId="180" fontId="0" fillId="0" borderId="0" xfId="15" applyNumberFormat="1" applyFont="1" applyFill="1" applyBorder="1" applyAlignment="1">
      <alignment/>
    </xf>
    <xf numFmtId="0" fontId="0" fillId="2" borderId="3" xfId="0" applyFont="1" applyFill="1" applyBorder="1" applyAlignment="1">
      <alignment/>
    </xf>
    <xf numFmtId="180" fontId="0" fillId="0" borderId="0" xfId="0" applyNumberFormat="1" applyFont="1" applyFill="1" applyBorder="1" applyAlignment="1">
      <alignment/>
    </xf>
    <xf numFmtId="0" fontId="0" fillId="0" borderId="0" xfId="0" applyFont="1" applyBorder="1" applyAlignment="1">
      <alignment/>
    </xf>
    <xf numFmtId="0" fontId="0" fillId="0" borderId="16" xfId="0" applyFont="1" applyFill="1" applyBorder="1" applyAlignment="1">
      <alignment horizontal="left" wrapText="1"/>
    </xf>
    <xf numFmtId="180" fontId="0" fillId="0" borderId="0" xfId="15" applyNumberFormat="1" applyFont="1" applyFill="1" applyAlignment="1">
      <alignment/>
    </xf>
    <xf numFmtId="0" fontId="0" fillId="0" borderId="16" xfId="0" applyFont="1" applyFill="1" applyBorder="1" applyAlignment="1">
      <alignment wrapText="1"/>
    </xf>
    <xf numFmtId="0" fontId="4" fillId="0" borderId="0" xfId="0" applyFont="1" applyFill="1" applyAlignment="1">
      <alignment horizontal="left" wrapText="1"/>
    </xf>
    <xf numFmtId="0" fontId="4" fillId="2" borderId="18" xfId="0" applyFont="1" applyFill="1" applyBorder="1" applyAlignment="1">
      <alignment wrapText="1"/>
    </xf>
    <xf numFmtId="0" fontId="0" fillId="0" borderId="17" xfId="0" applyFont="1" applyFill="1" applyBorder="1" applyAlignment="1">
      <alignment wrapText="1"/>
    </xf>
    <xf numFmtId="0" fontId="4" fillId="2" borderId="8" xfId="0" applyFont="1" applyFill="1" applyBorder="1" applyAlignment="1">
      <alignment wrapText="1"/>
    </xf>
    <xf numFmtId="178" fontId="0" fillId="0" borderId="0" xfId="0" applyNumberFormat="1" applyFont="1" applyAlignment="1">
      <alignment/>
    </xf>
    <xf numFmtId="9" fontId="0" fillId="0" borderId="0" xfId="21" applyFont="1" applyAlignment="1">
      <alignment/>
    </xf>
    <xf numFmtId="9" fontId="0" fillId="0" borderId="0" xfId="0" applyNumberFormat="1" applyFont="1" applyFill="1" applyAlignment="1">
      <alignment/>
    </xf>
    <xf numFmtId="9" fontId="0" fillId="0" borderId="16" xfId="21" applyFont="1" applyFill="1" applyBorder="1" applyAlignment="1">
      <alignment/>
    </xf>
    <xf numFmtId="178" fontId="0" fillId="0" borderId="0" xfId="17" applyNumberFormat="1" applyFont="1" applyFill="1" applyBorder="1" applyAlignment="1">
      <alignment/>
    </xf>
    <xf numFmtId="0" fontId="0" fillId="0" borderId="16" xfId="0" applyFont="1" applyFill="1" applyBorder="1" applyAlignment="1">
      <alignment/>
    </xf>
    <xf numFmtId="1" fontId="0" fillId="0" borderId="0" xfId="0" applyNumberFormat="1" applyFont="1" applyFill="1" applyBorder="1" applyAlignment="1">
      <alignment/>
    </xf>
    <xf numFmtId="0" fontId="0" fillId="0" borderId="11" xfId="0" applyFont="1" applyFill="1" applyBorder="1" applyAlignment="1">
      <alignment horizontal="right"/>
    </xf>
    <xf numFmtId="1" fontId="0" fillId="0" borderId="4" xfId="0" applyNumberFormat="1" applyFont="1" applyFill="1" applyBorder="1" applyAlignment="1">
      <alignment/>
    </xf>
    <xf numFmtId="9" fontId="0" fillId="0" borderId="14" xfId="21" applyFont="1" applyFill="1" applyBorder="1" applyAlignment="1">
      <alignment/>
    </xf>
    <xf numFmtId="9" fontId="0" fillId="0" borderId="0" xfId="21" applyFont="1" applyFill="1" applyBorder="1" applyAlignment="1">
      <alignment/>
    </xf>
    <xf numFmtId="9" fontId="0" fillId="0" borderId="4" xfId="21" applyFont="1" applyFill="1" applyBorder="1" applyAlignment="1">
      <alignment/>
    </xf>
    <xf numFmtId="9" fontId="0" fillId="0" borderId="0" xfId="0" applyNumberFormat="1" applyFont="1" applyFill="1" applyBorder="1" applyAlignment="1">
      <alignment/>
    </xf>
    <xf numFmtId="9" fontId="0" fillId="0" borderId="4" xfId="0" applyNumberFormat="1" applyFont="1" applyFill="1" applyBorder="1" applyAlignment="1">
      <alignment/>
    </xf>
    <xf numFmtId="0" fontId="0" fillId="0" borderId="14" xfId="0" applyFont="1" applyFill="1" applyBorder="1" applyAlignment="1">
      <alignment/>
    </xf>
    <xf numFmtId="9" fontId="10" fillId="0" borderId="0" xfId="21" applyFont="1" applyAlignment="1">
      <alignment/>
    </xf>
    <xf numFmtId="9" fontId="10" fillId="0" borderId="0" xfId="21" applyFont="1" applyFill="1" applyBorder="1" applyAlignment="1">
      <alignment/>
    </xf>
    <xf numFmtId="178" fontId="0" fillId="0" borderId="4" xfId="17" applyNumberFormat="1" applyFont="1" applyFill="1" applyBorder="1" applyAlignment="1">
      <alignment/>
    </xf>
    <xf numFmtId="3" fontId="0" fillId="0" borderId="4" xfId="0" applyNumberFormat="1" applyFont="1" applyFill="1" applyBorder="1" applyAlignment="1">
      <alignment/>
    </xf>
    <xf numFmtId="0" fontId="0" fillId="0" borderId="6" xfId="0" applyFont="1" applyFill="1" applyBorder="1" applyAlignment="1">
      <alignment/>
    </xf>
    <xf numFmtId="0" fontId="0" fillId="0" borderId="3" xfId="0" applyFont="1" applyFill="1" applyBorder="1" applyAlignment="1">
      <alignment/>
    </xf>
    <xf numFmtId="0" fontId="0" fillId="0" borderId="7" xfId="0" applyFont="1" applyFill="1" applyBorder="1" applyAlignment="1">
      <alignment/>
    </xf>
    <xf numFmtId="9" fontId="10" fillId="0" borderId="16" xfId="21" applyFont="1" applyFill="1" applyBorder="1" applyAlignment="1">
      <alignment/>
    </xf>
    <xf numFmtId="0" fontId="0" fillId="0" borderId="16" xfId="0" applyFont="1" applyFill="1" applyBorder="1" applyAlignment="1">
      <alignment horizontal="center" vertical="center" wrapText="1"/>
    </xf>
    <xf numFmtId="0" fontId="0" fillId="0" borderId="10" xfId="0" applyFont="1" applyFill="1" applyBorder="1" applyAlignment="1">
      <alignment/>
    </xf>
    <xf numFmtId="180" fontId="0" fillId="0" borderId="19" xfId="15" applyNumberFormat="1" applyFont="1" applyFill="1" applyBorder="1" applyAlignment="1">
      <alignment/>
    </xf>
    <xf numFmtId="9" fontId="0" fillId="0" borderId="20" xfId="21" applyFont="1" applyFill="1" applyBorder="1" applyAlignment="1">
      <alignment/>
    </xf>
    <xf numFmtId="0" fontId="0" fillId="0" borderId="1" xfId="0" applyFont="1" applyBorder="1" applyAlignment="1">
      <alignment/>
    </xf>
    <xf numFmtId="0" fontId="0" fillId="0" borderId="4" xfId="0" applyFont="1" applyBorder="1" applyAlignment="1">
      <alignment/>
    </xf>
    <xf numFmtId="9" fontId="0" fillId="0" borderId="14" xfId="0" applyNumberFormat="1" applyFont="1" applyBorder="1" applyAlignment="1">
      <alignment/>
    </xf>
    <xf numFmtId="3" fontId="0" fillId="0" borderId="12" xfId="0" applyNumberFormat="1" applyFont="1" applyBorder="1" applyAlignment="1">
      <alignment/>
    </xf>
    <xf numFmtId="3" fontId="0" fillId="0" borderId="13" xfId="0" applyNumberFormat="1" applyFont="1" applyBorder="1" applyAlignment="1">
      <alignment/>
    </xf>
    <xf numFmtId="3" fontId="0" fillId="0" borderId="19" xfId="0" applyNumberFormat="1" applyFont="1" applyBorder="1" applyAlignment="1">
      <alignment/>
    </xf>
    <xf numFmtId="3" fontId="0" fillId="0" borderId="20" xfId="0" applyNumberFormat="1" applyFont="1" applyBorder="1" applyAlignment="1">
      <alignment/>
    </xf>
    <xf numFmtId="3" fontId="0" fillId="0" borderId="0" xfId="0" applyNumberFormat="1" applyFont="1" applyBorder="1" applyAlignment="1">
      <alignment/>
    </xf>
    <xf numFmtId="3" fontId="0" fillId="0" borderId="16" xfId="0" applyNumberFormat="1" applyFont="1" applyBorder="1" applyAlignment="1">
      <alignment/>
    </xf>
    <xf numFmtId="9" fontId="0" fillId="0" borderId="0" xfId="21" applyFont="1" applyBorder="1" applyAlignment="1">
      <alignment/>
    </xf>
    <xf numFmtId="0" fontId="0" fillId="0" borderId="16" xfId="0" applyFont="1" applyBorder="1" applyAlignment="1">
      <alignment/>
    </xf>
    <xf numFmtId="179" fontId="0" fillId="0" borderId="0" xfId="21" applyNumberFormat="1" applyFont="1" applyBorder="1" applyAlignment="1">
      <alignment/>
    </xf>
    <xf numFmtId="180" fontId="0" fillId="0" borderId="0" xfId="15" applyNumberFormat="1" applyFont="1" applyBorder="1" applyAlignment="1">
      <alignment/>
    </xf>
    <xf numFmtId="3" fontId="0" fillId="0" borderId="0" xfId="0" applyNumberFormat="1" applyFont="1" applyAlignment="1">
      <alignment/>
    </xf>
    <xf numFmtId="9" fontId="0" fillId="0" borderId="0" xfId="0" applyNumberFormat="1" applyFont="1" applyBorder="1" applyAlignment="1">
      <alignment/>
    </xf>
    <xf numFmtId="0" fontId="0" fillId="0" borderId="19" xfId="0" applyFont="1" applyBorder="1" applyAlignment="1">
      <alignment/>
    </xf>
    <xf numFmtId="0" fontId="0" fillId="0" borderId="20" xfId="0" applyFont="1" applyBorder="1" applyAlignment="1">
      <alignment/>
    </xf>
    <xf numFmtId="3" fontId="0" fillId="0" borderId="14" xfId="0" applyNumberFormat="1" applyFont="1" applyBorder="1" applyAlignment="1">
      <alignment/>
    </xf>
    <xf numFmtId="0" fontId="0" fillId="0" borderId="0" xfId="0" applyFont="1" applyFill="1" applyBorder="1" applyAlignment="1">
      <alignment horizontal="left"/>
    </xf>
    <xf numFmtId="0" fontId="0" fillId="0" borderId="11" xfId="0" applyFont="1" applyFill="1" applyBorder="1" applyAlignment="1">
      <alignment horizontal="left" wrapText="1"/>
    </xf>
    <xf numFmtId="178" fontId="0" fillId="0" borderId="16" xfId="17" applyNumberFormat="1" applyFont="1" applyFill="1" applyBorder="1" applyAlignment="1">
      <alignment/>
    </xf>
    <xf numFmtId="0" fontId="0" fillId="0" borderId="11" xfId="0" applyFont="1" applyFill="1" applyBorder="1" applyAlignment="1" quotePrefix="1">
      <alignment horizontal="left" wrapText="1"/>
    </xf>
    <xf numFmtId="0" fontId="0" fillId="0" borderId="11" xfId="0" applyFont="1" applyFill="1" applyBorder="1" applyAlignment="1">
      <alignment horizontal="left"/>
    </xf>
    <xf numFmtId="1" fontId="0" fillId="0" borderId="0" xfId="0" applyNumberFormat="1" applyFont="1" applyAlignment="1">
      <alignment/>
    </xf>
    <xf numFmtId="0" fontId="0" fillId="0" borderId="1" xfId="0" applyFont="1" applyFill="1" applyBorder="1" applyAlignment="1">
      <alignment horizontal="left" wrapText="1"/>
    </xf>
    <xf numFmtId="178" fontId="0" fillId="0" borderId="14" xfId="17" applyNumberFormat="1" applyFont="1" applyFill="1" applyBorder="1" applyAlignment="1">
      <alignment/>
    </xf>
    <xf numFmtId="0" fontId="0" fillId="0" borderId="16" xfId="0" applyFont="1" applyFill="1" applyBorder="1" applyAlignment="1">
      <alignment horizontal="right"/>
    </xf>
    <xf numFmtId="178" fontId="0" fillId="0" borderId="0" xfId="17" applyNumberFormat="1" applyFont="1" applyBorder="1" applyAlignment="1">
      <alignment/>
    </xf>
    <xf numFmtId="1" fontId="0" fillId="0" borderId="17" xfId="0" applyNumberFormat="1" applyFont="1" applyFill="1" applyBorder="1" applyAlignment="1">
      <alignment/>
    </xf>
    <xf numFmtId="0" fontId="0" fillId="0" borderId="17" xfId="0" applyFont="1" applyFill="1" applyBorder="1" applyAlignment="1">
      <alignment/>
    </xf>
    <xf numFmtId="0" fontId="0" fillId="0" borderId="17" xfId="0" applyFont="1" applyFill="1" applyBorder="1" applyAlignment="1">
      <alignment/>
    </xf>
    <xf numFmtId="0" fontId="0" fillId="0" borderId="0" xfId="0" applyFont="1" applyFill="1" applyBorder="1" applyAlignment="1">
      <alignment/>
    </xf>
    <xf numFmtId="0" fontId="0" fillId="0" borderId="18" xfId="0" applyFont="1" applyFill="1" applyBorder="1" applyAlignment="1">
      <alignment/>
    </xf>
    <xf numFmtId="0" fontId="0" fillId="0" borderId="4" xfId="0" applyFont="1" applyFill="1" applyBorder="1" applyAlignment="1">
      <alignment/>
    </xf>
    <xf numFmtId="1" fontId="0" fillId="0" borderId="18" xfId="0" applyNumberFormat="1" applyFont="1" applyFill="1" applyBorder="1" applyAlignment="1">
      <alignment/>
    </xf>
    <xf numFmtId="9" fontId="0" fillId="0" borderId="0" xfId="0" applyNumberFormat="1" applyFont="1" applyAlignment="1">
      <alignment/>
    </xf>
    <xf numFmtId="178" fontId="0" fillId="0" borderId="0" xfId="17" applyNumberFormat="1" applyFont="1" applyAlignment="1">
      <alignment/>
    </xf>
    <xf numFmtId="0" fontId="0" fillId="0" borderId="8" xfId="0" applyFont="1" applyFill="1" applyBorder="1" applyAlignment="1">
      <alignment/>
    </xf>
    <xf numFmtId="0" fontId="0" fillId="0" borderId="9" xfId="0" applyFont="1" applyFill="1" applyBorder="1" applyAlignment="1">
      <alignment/>
    </xf>
    <xf numFmtId="0" fontId="0" fillId="0" borderId="12" xfId="0" applyFont="1" applyFill="1" applyBorder="1" applyAlignment="1">
      <alignment/>
    </xf>
    <xf numFmtId="178" fontId="0" fillId="0" borderId="12" xfId="17" applyNumberFormat="1" applyFont="1" applyFill="1" applyBorder="1" applyAlignment="1">
      <alignment/>
    </xf>
    <xf numFmtId="178" fontId="0" fillId="0" borderId="13" xfId="17" applyNumberFormat="1" applyFont="1" applyFill="1" applyBorder="1" applyAlignment="1">
      <alignment/>
    </xf>
    <xf numFmtId="0" fontId="0" fillId="0" borderId="4" xfId="0" applyFont="1" applyFill="1" applyBorder="1" applyAlignment="1">
      <alignment/>
    </xf>
    <xf numFmtId="0" fontId="0" fillId="0" borderId="12" xfId="0" applyFont="1" applyBorder="1" applyAlignment="1">
      <alignment/>
    </xf>
    <xf numFmtId="178" fontId="0" fillId="0" borderId="12" xfId="0" applyNumberFormat="1" applyFont="1" applyBorder="1" applyAlignment="1">
      <alignment/>
    </xf>
    <xf numFmtId="178" fontId="0" fillId="0" borderId="13" xfId="0" applyNumberFormat="1" applyFont="1" applyBorder="1" applyAlignment="1">
      <alignment/>
    </xf>
    <xf numFmtId="178" fontId="0" fillId="0" borderId="0" xfId="0" applyNumberFormat="1" applyFont="1" applyBorder="1" applyAlignment="1">
      <alignment/>
    </xf>
    <xf numFmtId="178" fontId="0" fillId="0" borderId="16" xfId="0" applyNumberFormat="1" applyFont="1" applyBorder="1" applyAlignment="1">
      <alignment/>
    </xf>
    <xf numFmtId="178" fontId="0" fillId="0" borderId="4" xfId="17" applyNumberFormat="1" applyFont="1" applyBorder="1" applyAlignment="1">
      <alignment/>
    </xf>
    <xf numFmtId="178" fontId="0" fillId="0" borderId="4" xfId="0" applyNumberFormat="1" applyFont="1" applyBorder="1" applyAlignment="1">
      <alignment/>
    </xf>
    <xf numFmtId="178" fontId="0" fillId="0" borderId="14" xfId="0" applyNumberFormat="1" applyFont="1" applyBorder="1" applyAlignment="1">
      <alignment/>
    </xf>
    <xf numFmtId="3" fontId="0" fillId="0" borderId="4" xfId="0" applyNumberFormat="1" applyFont="1" applyBorder="1" applyAlignment="1">
      <alignment/>
    </xf>
    <xf numFmtId="1" fontId="0" fillId="0" borderId="12" xfId="0" applyNumberFormat="1" applyFont="1" applyBorder="1" applyAlignment="1">
      <alignment/>
    </xf>
    <xf numFmtId="0" fontId="0" fillId="0" borderId="13" xfId="0" applyFont="1" applyBorder="1" applyAlignment="1">
      <alignment/>
    </xf>
    <xf numFmtId="1" fontId="0" fillId="0" borderId="0" xfId="0" applyNumberFormat="1" applyFont="1" applyBorder="1" applyAlignment="1">
      <alignment/>
    </xf>
    <xf numFmtId="0" fontId="0" fillId="0" borderId="17" xfId="0" applyFont="1" applyBorder="1" applyAlignment="1">
      <alignment/>
    </xf>
    <xf numFmtId="9" fontId="0" fillId="0" borderId="16" xfId="0" applyNumberFormat="1" applyFont="1" applyBorder="1" applyAlignment="1">
      <alignment/>
    </xf>
    <xf numFmtId="3" fontId="0" fillId="0" borderId="11" xfId="0" applyNumberFormat="1" applyFont="1" applyFill="1" applyBorder="1" applyAlignment="1">
      <alignment/>
    </xf>
    <xf numFmtId="3" fontId="0" fillId="0" borderId="16" xfId="0" applyNumberFormat="1" applyFont="1" applyFill="1" applyBorder="1" applyAlignment="1">
      <alignment/>
    </xf>
    <xf numFmtId="1" fontId="0" fillId="0" borderId="11" xfId="0" applyNumberFormat="1" applyFont="1" applyBorder="1" applyAlignment="1">
      <alignment/>
    </xf>
    <xf numFmtId="1" fontId="0" fillId="0" borderId="16" xfId="0" applyNumberFormat="1" applyFont="1" applyBorder="1" applyAlignment="1">
      <alignment/>
    </xf>
    <xf numFmtId="0" fontId="0" fillId="0" borderId="18" xfId="0" applyFont="1" applyBorder="1" applyAlignment="1">
      <alignment/>
    </xf>
    <xf numFmtId="9" fontId="0" fillId="0" borderId="4" xfId="0" applyNumberFormat="1" applyFont="1" applyBorder="1" applyAlignment="1">
      <alignment/>
    </xf>
    <xf numFmtId="0" fontId="0" fillId="0" borderId="9" xfId="0" applyFont="1" applyBorder="1" applyAlignment="1">
      <alignment horizontal="right"/>
    </xf>
    <xf numFmtId="0" fontId="0" fillId="0" borderId="15" xfId="0" applyFont="1" applyBorder="1" applyAlignment="1">
      <alignment/>
    </xf>
    <xf numFmtId="0" fontId="0" fillId="0" borderId="6" xfId="0" applyFont="1" applyBorder="1" applyAlignment="1">
      <alignment/>
    </xf>
    <xf numFmtId="9" fontId="0" fillId="0" borderId="8" xfId="0" applyNumberFormat="1" applyFont="1" applyBorder="1" applyAlignment="1">
      <alignment/>
    </xf>
    <xf numFmtId="0" fontId="0" fillId="0" borderId="3" xfId="0" applyFont="1" applyBorder="1" applyAlignment="1">
      <alignment/>
    </xf>
    <xf numFmtId="0" fontId="0" fillId="0" borderId="7" xfId="0" applyFont="1" applyBorder="1" applyAlignment="1">
      <alignment/>
    </xf>
    <xf numFmtId="0" fontId="0" fillId="0" borderId="8" xfId="0" applyFont="1" applyBorder="1" applyAlignment="1">
      <alignment horizontal="center" vertical="center"/>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Border="1" applyAlignment="1">
      <alignment wrapText="1"/>
    </xf>
    <xf numFmtId="0" fontId="0" fillId="0" borderId="11" xfId="0" applyFont="1" applyBorder="1" applyAlignment="1">
      <alignment horizontal="center" wrapText="1"/>
    </xf>
    <xf numFmtId="0" fontId="0" fillId="0" borderId="16" xfId="0" applyFont="1" applyBorder="1" applyAlignment="1" quotePrefix="1">
      <alignment horizontal="center" wrapText="1"/>
    </xf>
    <xf numFmtId="38" fontId="0" fillId="0" borderId="0" xfId="0" applyNumberFormat="1" applyFont="1" applyBorder="1" applyAlignment="1">
      <alignment/>
    </xf>
    <xf numFmtId="38" fontId="0" fillId="0" borderId="11" xfId="0" applyNumberFormat="1" applyFont="1" applyBorder="1" applyAlignment="1">
      <alignment/>
    </xf>
    <xf numFmtId="38" fontId="0" fillId="0" borderId="16" xfId="0" applyNumberFormat="1" applyFont="1" applyBorder="1" applyAlignment="1">
      <alignment/>
    </xf>
    <xf numFmtId="0" fontId="0" fillId="0" borderId="17" xfId="0" applyFont="1" applyBorder="1" applyAlignment="1" quotePrefix="1">
      <alignment wrapText="1"/>
    </xf>
    <xf numFmtId="38" fontId="0" fillId="0" borderId="0" xfId="0" applyNumberFormat="1" applyFont="1" applyFill="1" applyBorder="1" applyAlignment="1">
      <alignment/>
    </xf>
    <xf numFmtId="0" fontId="0" fillId="0" borderId="17" xfId="0" applyFont="1" applyBorder="1" applyAlignment="1">
      <alignment wrapText="1"/>
    </xf>
    <xf numFmtId="0" fontId="0" fillId="0" borderId="17" xfId="0" applyFont="1" applyFill="1" applyBorder="1" applyAlignment="1">
      <alignment horizontal="right" wrapText="1"/>
    </xf>
    <xf numFmtId="38" fontId="0" fillId="0" borderId="16" xfId="0" applyNumberFormat="1" applyFont="1" applyFill="1" applyBorder="1" applyAlignment="1">
      <alignment/>
    </xf>
    <xf numFmtId="41" fontId="0" fillId="0" borderId="0" xfId="0" applyNumberFormat="1" applyFont="1" applyBorder="1" applyAlignment="1">
      <alignment/>
    </xf>
    <xf numFmtId="0" fontId="0" fillId="0" borderId="18" xfId="0" applyFont="1" applyFill="1" applyBorder="1" applyAlignment="1">
      <alignment horizontal="right" wrapText="1"/>
    </xf>
    <xf numFmtId="38" fontId="0" fillId="0" borderId="4" xfId="0" applyNumberFormat="1" applyFont="1" applyFill="1" applyBorder="1" applyAlignment="1">
      <alignment/>
    </xf>
    <xf numFmtId="38" fontId="0" fillId="0" borderId="1" xfId="0" applyNumberFormat="1" applyFont="1" applyFill="1" applyBorder="1" applyAlignment="1">
      <alignment/>
    </xf>
    <xf numFmtId="38" fontId="0" fillId="0" borderId="14" xfId="0" applyNumberFormat="1" applyFont="1" applyFill="1" applyBorder="1" applyAlignment="1">
      <alignment/>
    </xf>
    <xf numFmtId="0" fontId="0" fillId="0" borderId="21" xfId="0" applyFont="1" applyBorder="1" applyAlignment="1">
      <alignment horizontal="center"/>
    </xf>
    <xf numFmtId="176" fontId="10" fillId="0" borderId="0" xfId="0" applyNumberFormat="1" applyFont="1" applyAlignment="1">
      <alignment/>
    </xf>
    <xf numFmtId="0" fontId="0" fillId="0" borderId="2" xfId="0" applyFont="1" applyBorder="1" applyAlignment="1">
      <alignment horizontal="center"/>
    </xf>
    <xf numFmtId="0" fontId="0" fillId="0" borderId="22" xfId="0" applyFont="1" applyBorder="1" applyAlignment="1">
      <alignment horizontal="center"/>
    </xf>
    <xf numFmtId="176" fontId="18" fillId="0" borderId="0" xfId="0" applyNumberFormat="1" applyFont="1" applyAlignment="1">
      <alignment/>
    </xf>
    <xf numFmtId="9" fontId="10" fillId="0" borderId="0" xfId="21" applyNumberFormat="1" applyFont="1" applyAlignment="1">
      <alignment wrapText="1"/>
    </xf>
    <xf numFmtId="10" fontId="0" fillId="0" borderId="0" xfId="21" applyNumberFormat="1" applyFont="1" applyAlignment="1">
      <alignment wrapText="1"/>
    </xf>
    <xf numFmtId="10" fontId="10" fillId="0" borderId="0" xfId="21" applyNumberFormat="1" applyFont="1" applyAlignment="1">
      <alignment wrapText="1"/>
    </xf>
    <xf numFmtId="0" fontId="0" fillId="0" borderId="0" xfId="0" applyFont="1" applyBorder="1" applyAlignment="1">
      <alignment horizontal="center"/>
    </xf>
    <xf numFmtId="9" fontId="10" fillId="0" borderId="0" xfId="21" applyFont="1" applyAlignment="1">
      <alignment wrapText="1"/>
    </xf>
    <xf numFmtId="3" fontId="10" fillId="0" borderId="0" xfId="21" applyNumberFormat="1" applyFont="1" applyAlignment="1">
      <alignment wrapText="1"/>
    </xf>
    <xf numFmtId="0" fontId="7" fillId="0" borderId="0" xfId="0" applyFont="1" applyAlignment="1">
      <alignment/>
    </xf>
    <xf numFmtId="0" fontId="7" fillId="0" borderId="1" xfId="0" applyFont="1" applyFill="1" applyBorder="1" applyAlignment="1">
      <alignment horizontal="center"/>
    </xf>
    <xf numFmtId="0" fontId="7" fillId="0" borderId="4" xfId="0" applyFont="1" applyFill="1" applyBorder="1" applyAlignment="1">
      <alignment horizontal="center"/>
    </xf>
    <xf numFmtId="0" fontId="7" fillId="0" borderId="14" xfId="0" applyFont="1" applyFill="1" applyBorder="1" applyAlignment="1">
      <alignment horizontal="center"/>
    </xf>
    <xf numFmtId="37" fontId="0" fillId="0" borderId="16" xfId="0" applyNumberFormat="1" applyFont="1" applyFill="1" applyBorder="1" applyAlignment="1">
      <alignment/>
    </xf>
    <xf numFmtId="37" fontId="0" fillId="0" borderId="0" xfId="0" applyNumberFormat="1" applyFont="1" applyFill="1" applyBorder="1" applyAlignment="1">
      <alignment/>
    </xf>
    <xf numFmtId="10" fontId="0" fillId="0" borderId="11" xfId="0" applyNumberFormat="1" applyFont="1" applyFill="1" applyBorder="1" applyAlignment="1">
      <alignment/>
    </xf>
    <xf numFmtId="10" fontId="0" fillId="0" borderId="0" xfId="0" applyNumberFormat="1" applyFont="1" applyFill="1" applyBorder="1" applyAlignment="1">
      <alignment/>
    </xf>
    <xf numFmtId="10" fontId="0" fillId="0" borderId="13" xfId="0" applyNumberFormat="1" applyFont="1" applyFill="1" applyBorder="1" applyAlignment="1">
      <alignment/>
    </xf>
    <xf numFmtId="10" fontId="0" fillId="0" borderId="0" xfId="0" applyNumberFormat="1" applyFont="1" applyFill="1" applyAlignment="1">
      <alignment/>
    </xf>
    <xf numFmtId="0" fontId="11" fillId="0" borderId="0" xfId="0" applyFont="1" applyAlignment="1">
      <alignment/>
    </xf>
    <xf numFmtId="9" fontId="0" fillId="0" borderId="0" xfId="21" applyFont="1" applyAlignment="1">
      <alignment wrapText="1"/>
    </xf>
    <xf numFmtId="9" fontId="0" fillId="0" borderId="0" xfId="0" applyNumberFormat="1" applyFont="1" applyAlignment="1">
      <alignment wrapText="1"/>
    </xf>
    <xf numFmtId="0" fontId="0" fillId="0" borderId="15" xfId="0" applyFont="1" applyBorder="1" applyAlignment="1">
      <alignment wrapText="1"/>
    </xf>
    <xf numFmtId="0" fontId="0" fillId="0" borderId="12" xfId="0" applyFont="1" applyBorder="1" applyAlignment="1">
      <alignment wrapText="1"/>
    </xf>
    <xf numFmtId="0" fontId="0" fillId="0" borderId="9" xfId="0" applyFont="1" applyBorder="1" applyAlignment="1">
      <alignment wrapText="1"/>
    </xf>
    <xf numFmtId="0" fontId="0" fillId="0" borderId="13" xfId="0" applyFont="1" applyBorder="1" applyAlignment="1">
      <alignment wrapText="1"/>
    </xf>
    <xf numFmtId="0" fontId="0" fillId="0" borderId="11" xfId="0" applyFont="1" applyBorder="1" applyAlignment="1">
      <alignment wrapText="1"/>
    </xf>
    <xf numFmtId="0" fontId="0" fillId="0" borderId="16" xfId="0" applyFont="1" applyBorder="1" applyAlignment="1">
      <alignment wrapText="1"/>
    </xf>
    <xf numFmtId="0" fontId="0" fillId="0" borderId="18" xfId="0" applyFont="1" applyBorder="1" applyAlignment="1">
      <alignment wrapText="1"/>
    </xf>
    <xf numFmtId="3" fontId="0" fillId="0" borderId="11" xfId="0" applyNumberFormat="1" applyFont="1" applyBorder="1" applyAlignment="1">
      <alignment wrapText="1"/>
    </xf>
    <xf numFmtId="3" fontId="0" fillId="0" borderId="0" xfId="0" applyNumberFormat="1" applyFont="1" applyBorder="1" applyAlignment="1">
      <alignment wrapText="1"/>
    </xf>
    <xf numFmtId="3" fontId="0" fillId="0" borderId="16" xfId="0" applyNumberFormat="1" applyFont="1" applyBorder="1" applyAlignment="1">
      <alignment wrapText="1"/>
    </xf>
    <xf numFmtId="2" fontId="0" fillId="0" borderId="16" xfId="0" applyNumberFormat="1" applyFont="1" applyBorder="1" applyAlignment="1">
      <alignment wrapText="1"/>
    </xf>
    <xf numFmtId="3" fontId="0" fillId="0" borderId="11" xfId="0" applyNumberFormat="1" applyFont="1" applyFill="1" applyBorder="1" applyAlignment="1">
      <alignment wrapText="1"/>
    </xf>
    <xf numFmtId="3" fontId="0" fillId="0" borderId="16" xfId="0" applyNumberFormat="1" applyFont="1" applyFill="1" applyBorder="1" applyAlignment="1">
      <alignment wrapText="1"/>
    </xf>
    <xf numFmtId="9" fontId="0" fillId="0" borderId="0" xfId="21" applyFont="1" applyFill="1" applyBorder="1" applyAlignment="1">
      <alignment wrapText="1"/>
    </xf>
    <xf numFmtId="0" fontId="0" fillId="0" borderId="11" xfId="0" applyFont="1" applyFill="1" applyBorder="1" applyAlignment="1">
      <alignment wrapText="1"/>
    </xf>
    <xf numFmtId="2" fontId="0" fillId="0" borderId="16" xfId="0" applyNumberFormat="1" applyFont="1" applyFill="1" applyBorder="1" applyAlignment="1">
      <alignment wrapText="1"/>
    </xf>
    <xf numFmtId="3" fontId="0" fillId="0" borderId="0" xfId="0" applyNumberFormat="1" applyFont="1" applyFill="1" applyBorder="1" applyAlignment="1">
      <alignment wrapText="1"/>
    </xf>
    <xf numFmtId="1" fontId="0" fillId="0" borderId="11" xfId="0" applyNumberFormat="1" applyFont="1" applyBorder="1" applyAlignment="1">
      <alignment wrapText="1"/>
    </xf>
    <xf numFmtId="1" fontId="0" fillId="0" borderId="11" xfId="0" applyNumberFormat="1" applyFont="1" applyFill="1" applyBorder="1" applyAlignment="1">
      <alignment wrapText="1"/>
    </xf>
    <xf numFmtId="3" fontId="0" fillId="0" borderId="11" xfId="21" applyNumberFormat="1" applyFont="1" applyBorder="1" applyAlignment="1">
      <alignment wrapText="1"/>
    </xf>
    <xf numFmtId="3" fontId="0" fillId="0" borderId="1" xfId="0" applyNumberFormat="1" applyFont="1" applyBorder="1" applyAlignment="1">
      <alignment wrapText="1"/>
    </xf>
    <xf numFmtId="3" fontId="0" fillId="0" borderId="4" xfId="0" applyNumberFormat="1" applyFont="1" applyBorder="1" applyAlignment="1">
      <alignment wrapText="1"/>
    </xf>
    <xf numFmtId="3" fontId="0" fillId="0" borderId="4" xfId="0" applyNumberFormat="1" applyFont="1" applyFill="1" applyBorder="1" applyAlignment="1">
      <alignment wrapText="1"/>
    </xf>
    <xf numFmtId="3" fontId="0" fillId="0" borderId="14" xfId="0" applyNumberFormat="1" applyFont="1" applyBorder="1" applyAlignment="1">
      <alignment wrapText="1"/>
    </xf>
    <xf numFmtId="0" fontId="0" fillId="0" borderId="1" xfId="0" applyFont="1" applyFill="1" applyBorder="1" applyAlignment="1">
      <alignment wrapText="1"/>
    </xf>
    <xf numFmtId="3" fontId="0" fillId="0" borderId="14" xfId="0" applyNumberFormat="1" applyFont="1" applyFill="1" applyBorder="1" applyAlignment="1">
      <alignment wrapText="1"/>
    </xf>
    <xf numFmtId="3" fontId="0" fillId="0" borderId="1" xfId="0" applyNumberFormat="1" applyFont="1" applyFill="1" applyBorder="1" applyAlignment="1">
      <alignment wrapText="1"/>
    </xf>
    <xf numFmtId="9" fontId="0" fillId="0" borderId="4" xfId="21" applyFont="1" applyFill="1" applyBorder="1" applyAlignment="1">
      <alignment wrapText="1"/>
    </xf>
    <xf numFmtId="0" fontId="0" fillId="0" borderId="14" xfId="0" applyFont="1" applyFill="1" applyBorder="1" applyAlignment="1">
      <alignment wrapText="1"/>
    </xf>
    <xf numFmtId="1" fontId="0" fillId="0" borderId="1" xfId="0" applyNumberFormat="1" applyFont="1" applyFill="1" applyBorder="1" applyAlignment="1">
      <alignment wrapText="1"/>
    </xf>
    <xf numFmtId="1" fontId="0" fillId="0" borderId="1" xfId="0" applyNumberFormat="1" applyFont="1" applyBorder="1" applyAlignment="1">
      <alignment wrapText="1"/>
    </xf>
    <xf numFmtId="0" fontId="0" fillId="0" borderId="14" xfId="0" applyFont="1" applyBorder="1" applyAlignment="1">
      <alignment wrapText="1"/>
    </xf>
    <xf numFmtId="1" fontId="0" fillId="0" borderId="0" xfId="0" applyNumberFormat="1" applyFont="1" applyAlignment="1">
      <alignment wrapText="1"/>
    </xf>
    <xf numFmtId="0" fontId="0" fillId="0" borderId="0" xfId="0" applyBorder="1" applyAlignment="1">
      <alignment/>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0" xfId="0" applyFont="1" applyAlignment="1">
      <alignment horizontal="left" wrapText="1"/>
    </xf>
    <xf numFmtId="0" fontId="15" fillId="0" borderId="0" xfId="0" applyFont="1" applyBorder="1" applyAlignment="1">
      <alignment horizontal="left"/>
    </xf>
    <xf numFmtId="0" fontId="8" fillId="0" borderId="0" xfId="0" applyFont="1" applyBorder="1" applyAlignment="1">
      <alignment/>
    </xf>
    <xf numFmtId="0" fontId="4" fillId="0" borderId="0" xfId="0" applyFont="1" applyBorder="1" applyAlignment="1">
      <alignment/>
    </xf>
    <xf numFmtId="0" fontId="0" fillId="0" borderId="0" xfId="0" applyBorder="1" applyAlignment="1">
      <alignment wrapText="1"/>
    </xf>
    <xf numFmtId="0" fontId="0" fillId="0" borderId="0" xfId="0" applyFont="1" applyBorder="1" applyAlignment="1">
      <alignment vertical="top" wrapText="1"/>
    </xf>
    <xf numFmtId="0" fontId="0" fillId="0" borderId="0" xfId="0" applyFont="1" applyFill="1" applyBorder="1" applyAlignment="1">
      <alignment vertical="top" wrapText="1"/>
    </xf>
    <xf numFmtId="0" fontId="0" fillId="0" borderId="0" xfId="0" applyNumberFormat="1" applyBorder="1" applyAlignment="1">
      <alignment wrapText="1"/>
    </xf>
    <xf numFmtId="0" fontId="0" fillId="0" borderId="0" xfId="0" applyNumberFormat="1" applyFont="1" applyBorder="1" applyAlignment="1">
      <alignment horizontal="justify"/>
    </xf>
    <xf numFmtId="0" fontId="18" fillId="0" borderId="0" xfId="0" applyFont="1" applyAlignment="1">
      <alignment horizontal="justify"/>
    </xf>
    <xf numFmtId="14" fontId="19" fillId="0" borderId="0" xfId="0" applyNumberFormat="1" applyFont="1" applyBorder="1" applyAlignment="1">
      <alignment horizontal="right"/>
    </xf>
    <xf numFmtId="0" fontId="19" fillId="0" borderId="0" xfId="0" applyFont="1" applyAlignment="1">
      <alignment horizontal="right"/>
    </xf>
    <xf numFmtId="0" fontId="4" fillId="0" borderId="27" xfId="0" applyFont="1" applyBorder="1" applyAlignment="1">
      <alignment horizontal="center" vertical="center" wrapText="1"/>
    </xf>
    <xf numFmtId="0" fontId="0" fillId="0" borderId="28" xfId="0" applyFont="1" applyBorder="1" applyAlignment="1">
      <alignment horizontal="left" vertical="center" wrapText="1"/>
    </xf>
    <xf numFmtId="14" fontId="0" fillId="0" borderId="29" xfId="0" applyNumberFormat="1" applyFont="1" applyBorder="1" applyAlignment="1">
      <alignment horizontal="left" vertical="center" wrapText="1"/>
    </xf>
    <xf numFmtId="6" fontId="0" fillId="0" borderId="28" xfId="0" applyNumberFormat="1" applyFont="1" applyBorder="1" applyAlignment="1">
      <alignment horizontal="left" vertical="center" wrapText="1"/>
    </xf>
    <xf numFmtId="0" fontId="0" fillId="0" borderId="30" xfId="0" applyFont="1" applyBorder="1" applyAlignment="1">
      <alignment vertical="center" wrapText="1"/>
    </xf>
    <xf numFmtId="0" fontId="0" fillId="0" borderId="28" xfId="0" applyFont="1" applyBorder="1" applyAlignment="1">
      <alignment vertical="center" wrapText="1"/>
    </xf>
    <xf numFmtId="0" fontId="0" fillId="0" borderId="31"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horizontal="left" vertical="center" wrapText="1"/>
    </xf>
    <xf numFmtId="0" fontId="0" fillId="0" borderId="32" xfId="0" applyFont="1" applyBorder="1" applyAlignment="1">
      <alignment horizontal="left" vertical="center" wrapText="1"/>
    </xf>
    <xf numFmtId="0" fontId="2" fillId="0" borderId="33" xfId="20" applyFill="1" applyBorder="1" applyAlignment="1">
      <alignment vertical="center" wrapText="1"/>
    </xf>
    <xf numFmtId="0" fontId="0" fillId="0" borderId="33" xfId="0" applyBorder="1" applyAlignment="1">
      <alignment vertical="center" wrapText="1"/>
    </xf>
    <xf numFmtId="0" fontId="0" fillId="0" borderId="33" xfId="0" applyNumberFormat="1" applyBorder="1" applyAlignment="1">
      <alignment vertical="center" wrapText="1"/>
    </xf>
    <xf numFmtId="0" fontId="2" fillId="0" borderId="33" xfId="20" applyBorder="1" applyAlignment="1">
      <alignment vertical="center" wrapText="1"/>
    </xf>
    <xf numFmtId="0" fontId="0" fillId="0" borderId="34" xfId="0" applyBorder="1" applyAlignment="1">
      <alignment vertical="center"/>
    </xf>
    <xf numFmtId="0" fontId="0" fillId="0" borderId="35" xfId="0" applyBorder="1" applyAlignment="1">
      <alignment vertical="center"/>
    </xf>
    <xf numFmtId="0" fontId="0" fillId="0" borderId="11" xfId="0" applyFont="1" applyBorder="1" applyAlignment="1">
      <alignment vertical="center"/>
    </xf>
    <xf numFmtId="0" fontId="0" fillId="0" borderId="11" xfId="0" applyFont="1" applyFill="1" applyBorder="1" applyAlignment="1">
      <alignment vertical="center"/>
    </xf>
    <xf numFmtId="0" fontId="20" fillId="0" borderId="15" xfId="0" applyFont="1" applyBorder="1" applyAlignment="1">
      <alignment horizontal="center" vertical="center" wrapText="1"/>
    </xf>
    <xf numFmtId="0" fontId="21" fillId="0" borderId="18" xfId="0" applyFont="1" applyFill="1" applyBorder="1" applyAlignment="1">
      <alignment horizontal="center" vertical="center" wrapText="1"/>
    </xf>
    <xf numFmtId="0" fontId="22" fillId="0" borderId="0" xfId="0" applyFont="1" applyAlignment="1">
      <alignment horizontal="center" vertical="center"/>
    </xf>
    <xf numFmtId="0" fontId="4" fillId="0" borderId="8" xfId="0" applyFont="1" applyBorder="1" applyAlignment="1">
      <alignment vertical="center"/>
    </xf>
    <xf numFmtId="0" fontId="10" fillId="0" borderId="17" xfId="20" applyFont="1" applyBorder="1" applyAlignment="1">
      <alignment vertical="center"/>
    </xf>
    <xf numFmtId="0" fontId="10" fillId="0" borderId="18" xfId="20" applyFont="1" applyBorder="1" applyAlignment="1">
      <alignment vertical="center"/>
    </xf>
    <xf numFmtId="0" fontId="0" fillId="2" borderId="15" xfId="0" applyFont="1" applyFill="1" applyBorder="1" applyAlignment="1">
      <alignment horizontal="center" vertical="center"/>
    </xf>
    <xf numFmtId="9" fontId="0" fillId="0" borderId="0" xfId="0" applyNumberFormat="1" applyFont="1" applyFill="1" applyBorder="1" applyAlignment="1">
      <alignment horizontal="center"/>
    </xf>
    <xf numFmtId="0" fontId="11" fillId="0" borderId="15" xfId="0" applyFont="1" applyBorder="1" applyAlignment="1">
      <alignment horizontal="center" vertical="center"/>
    </xf>
    <xf numFmtId="0" fontId="0" fillId="0" borderId="15" xfId="0" applyFont="1" applyBorder="1" applyAlignment="1">
      <alignment horizontal="center" vertical="center" wrapText="1"/>
    </xf>
    <xf numFmtId="0" fontId="0" fillId="0" borderId="9" xfId="0" applyFont="1" applyBorder="1" applyAlignment="1">
      <alignment vertical="center"/>
    </xf>
    <xf numFmtId="0" fontId="0" fillId="0" borderId="15" xfId="0" applyBorder="1" applyAlignment="1">
      <alignment vertical="center" wrapText="1"/>
    </xf>
    <xf numFmtId="9" fontId="11" fillId="3" borderId="15" xfId="0" applyNumberFormat="1" applyFont="1" applyFill="1" applyBorder="1" applyAlignment="1">
      <alignment horizontal="center" vertical="center" wrapText="1"/>
    </xf>
    <xf numFmtId="9" fontId="0" fillId="0" borderId="15" xfId="0" applyNumberFormat="1" applyFont="1" applyBorder="1" applyAlignment="1">
      <alignment horizontal="center" vertical="center" wrapText="1"/>
    </xf>
    <xf numFmtId="0" fontId="0" fillId="0" borderId="13" xfId="0" applyFont="1" applyBorder="1" applyAlignment="1">
      <alignment horizontal="center" vertical="center" wrapText="1"/>
    </xf>
    <xf numFmtId="9" fontId="0" fillId="2" borderId="13" xfId="0" applyNumberFormat="1" applyFont="1" applyFill="1" applyBorder="1" applyAlignment="1">
      <alignment horizontal="center" vertical="center"/>
    </xf>
    <xf numFmtId="0" fontId="0" fillId="0" borderId="1" xfId="0" applyFont="1" applyFill="1" applyBorder="1" applyAlignment="1">
      <alignment vertical="center"/>
    </xf>
    <xf numFmtId="0" fontId="0" fillId="0" borderId="18" xfId="0" applyBorder="1" applyAlignment="1">
      <alignment vertical="center" wrapText="1"/>
    </xf>
    <xf numFmtId="9" fontId="11" fillId="3" borderId="18" xfId="0" applyNumberFormat="1" applyFont="1" applyFill="1" applyBorder="1" applyAlignment="1">
      <alignment horizontal="center" vertical="center" wrapText="1"/>
    </xf>
    <xf numFmtId="9" fontId="0" fillId="0" borderId="18" xfId="0" applyNumberFormat="1" applyFont="1" applyBorder="1" applyAlignment="1">
      <alignment horizontal="center" vertical="center" wrapText="1"/>
    </xf>
    <xf numFmtId="0" fontId="0" fillId="0" borderId="14" xfId="0" applyFont="1" applyBorder="1" applyAlignment="1">
      <alignment horizontal="center" vertical="center" wrapText="1"/>
    </xf>
    <xf numFmtId="9" fontId="0" fillId="2" borderId="14" xfId="0" applyNumberFormat="1" applyFont="1" applyFill="1" applyBorder="1" applyAlignment="1">
      <alignment horizontal="center" vertical="center"/>
    </xf>
    <xf numFmtId="9" fontId="11"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19" fillId="0" borderId="0" xfId="0" applyFont="1" applyAlignment="1">
      <alignment horizontal="right"/>
    </xf>
    <xf numFmtId="0" fontId="0" fillId="0" borderId="0" xfId="0" applyFont="1" applyAlignment="1">
      <alignment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9" fontId="0" fillId="0" borderId="17" xfId="0" applyNumberFormat="1" applyFont="1" applyBorder="1" applyAlignment="1">
      <alignment horizontal="center" vertical="center"/>
    </xf>
    <xf numFmtId="16"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vertical="center"/>
    </xf>
    <xf numFmtId="9" fontId="0" fillId="0" borderId="18" xfId="0" applyNumberFormat="1" applyFont="1" applyFill="1" applyBorder="1" applyAlignment="1">
      <alignment horizontal="center" vertical="center"/>
    </xf>
    <xf numFmtId="0" fontId="0" fillId="0" borderId="4" xfId="0" applyFont="1" applyBorder="1" applyAlignment="1">
      <alignment horizontal="center" vertical="center"/>
    </xf>
    <xf numFmtId="9" fontId="0" fillId="2" borderId="17" xfId="0" applyNumberFormat="1" applyFont="1" applyFill="1" applyBorder="1" applyAlignment="1">
      <alignment horizontal="center" vertical="center"/>
    </xf>
    <xf numFmtId="9" fontId="0" fillId="2" borderId="18" xfId="0" applyNumberFormat="1" applyFont="1" applyFill="1" applyBorder="1" applyAlignment="1">
      <alignment horizontal="center" vertical="center"/>
    </xf>
    <xf numFmtId="0" fontId="4" fillId="0" borderId="0" xfId="0" applyFont="1" applyFill="1" applyBorder="1" applyAlignment="1">
      <alignment horizontal="right"/>
    </xf>
    <xf numFmtId="179" fontId="4" fillId="0" borderId="8" xfId="0" applyNumberFormat="1" applyFont="1" applyBorder="1" applyAlignment="1">
      <alignment horizontal="center"/>
    </xf>
    <xf numFmtId="179" fontId="4" fillId="0" borderId="0" xfId="0" applyNumberFormat="1" applyFont="1" applyBorder="1" applyAlignment="1">
      <alignment horizontal="center"/>
    </xf>
    <xf numFmtId="179" fontId="12" fillId="4" borderId="8" xfId="0" applyNumberFormat="1" applyFont="1" applyFill="1" applyBorder="1" applyAlignment="1">
      <alignment horizontal="center"/>
    </xf>
    <xf numFmtId="9" fontId="10" fillId="0" borderId="0" xfId="0" applyNumberFormat="1" applyFont="1" applyFill="1" applyAlignment="1">
      <alignment/>
    </xf>
    <xf numFmtId="0" fontId="24" fillId="0" borderId="0" xfId="0" applyFont="1" applyAlignment="1">
      <alignment/>
    </xf>
    <xf numFmtId="0" fontId="4" fillId="0" borderId="7" xfId="0" applyFont="1" applyFill="1" applyBorder="1" applyAlignment="1">
      <alignment horizontal="center"/>
    </xf>
    <xf numFmtId="0" fontId="4" fillId="0" borderId="0" xfId="0" applyFont="1" applyFill="1" applyBorder="1" applyAlignment="1">
      <alignment horizontal="center" vertical="center" wrapText="1"/>
    </xf>
    <xf numFmtId="0" fontId="0" fillId="0" borderId="26" xfId="0" applyFont="1" applyBorder="1" applyAlignment="1">
      <alignment horizontal="left" vertical="center" wrapText="1"/>
    </xf>
    <xf numFmtId="0" fontId="0" fillId="0" borderId="24" xfId="0" applyFont="1" applyBorder="1" applyAlignment="1">
      <alignment horizontal="left" vertical="center" wrapText="1"/>
    </xf>
    <xf numFmtId="0" fontId="0" fillId="0" borderId="36" xfId="0" applyFont="1" applyBorder="1" applyAlignment="1">
      <alignment horizontal="left" vertical="center" wrapText="1"/>
    </xf>
    <xf numFmtId="0" fontId="15" fillId="0" borderId="0" xfId="0" applyFont="1" applyAlignment="1">
      <alignment horizontal="center" vertical="center"/>
    </xf>
    <xf numFmtId="0" fontId="0" fillId="0" borderId="24" xfId="0" applyFont="1" applyFill="1" applyBorder="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wrapText="1"/>
    </xf>
    <xf numFmtId="0" fontId="11" fillId="0" borderId="0" xfId="0" applyFont="1" applyFill="1" applyAlignment="1">
      <alignment horizontal="left" vertical="center" wrapText="1"/>
    </xf>
    <xf numFmtId="0" fontId="9" fillId="0" borderId="8" xfId="0" applyFont="1" applyBorder="1" applyAlignment="1">
      <alignment horizontal="left" vertical="center"/>
    </xf>
    <xf numFmtId="0" fontId="9" fillId="0" borderId="15" xfId="0" applyFont="1" applyBorder="1" applyAlignment="1">
      <alignment horizontal="left" vertical="center"/>
    </xf>
    <xf numFmtId="0" fontId="9" fillId="0" borderId="8" xfId="0" applyFont="1" applyBorder="1" applyAlignment="1">
      <alignment horizontal="center"/>
    </xf>
    <xf numFmtId="0" fontId="0" fillId="0" borderId="6" xfId="0" applyFont="1" applyFill="1" applyBorder="1" applyAlignment="1">
      <alignment horizontal="center"/>
    </xf>
    <xf numFmtId="0" fontId="0" fillId="0" borderId="7" xfId="0" applyFont="1" applyFill="1" applyBorder="1" applyAlignment="1">
      <alignment horizontal="center"/>
    </xf>
    <xf numFmtId="0" fontId="4" fillId="0" borderId="0" xfId="0" applyFont="1" applyFill="1" applyBorder="1" applyAlignment="1">
      <alignment horizontal="left" vertical="center" wrapText="1"/>
    </xf>
    <xf numFmtId="0" fontId="4" fillId="0" borderId="6" xfId="0" applyFont="1" applyFill="1" applyBorder="1" applyAlignment="1">
      <alignment horizontal="center"/>
    </xf>
    <xf numFmtId="0" fontId="4" fillId="0" borderId="3" xfId="0" applyFont="1" applyFill="1" applyBorder="1" applyAlignment="1">
      <alignment horizontal="center"/>
    </xf>
    <xf numFmtId="0" fontId="4" fillId="0" borderId="1" xfId="0" applyFont="1" applyFill="1" applyBorder="1" applyAlignment="1">
      <alignment horizontal="center"/>
    </xf>
    <xf numFmtId="0" fontId="4" fillId="0" borderId="4" xfId="0" applyFont="1" applyFill="1" applyBorder="1" applyAlignment="1">
      <alignment horizontal="center"/>
    </xf>
    <xf numFmtId="0" fontId="4" fillId="0" borderId="14" xfId="0" applyFont="1" applyFill="1" applyBorder="1" applyAlignment="1">
      <alignment horizontal="center"/>
    </xf>
    <xf numFmtId="0" fontId="4" fillId="0" borderId="9"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13" xfId="0" applyFont="1" applyFill="1" applyBorder="1" applyAlignment="1">
      <alignment horizontal="center"/>
    </xf>
    <xf numFmtId="0" fontId="0" fillId="0" borderId="15" xfId="0" applyFont="1" applyFill="1" applyBorder="1" applyAlignment="1">
      <alignment horizontal="center"/>
    </xf>
    <xf numFmtId="0" fontId="0" fillId="0" borderId="8" xfId="0" applyFont="1" applyFill="1" applyBorder="1" applyAlignment="1">
      <alignment horizontal="center"/>
    </xf>
    <xf numFmtId="0" fontId="4" fillId="0" borderId="0" xfId="0" applyFont="1" applyBorder="1" applyAlignment="1">
      <alignment horizontal="center"/>
    </xf>
    <xf numFmtId="0" fontId="0" fillId="0" borderId="0" xfId="0" applyFont="1" applyBorder="1" applyAlignment="1">
      <alignment horizontal="center"/>
    </xf>
    <xf numFmtId="0" fontId="0" fillId="0" borderId="9" xfId="0" applyFont="1" applyFill="1" applyBorder="1" applyAlignment="1">
      <alignment horizontal="center"/>
    </xf>
    <xf numFmtId="0" fontId="0" fillId="0" borderId="12" xfId="0" applyFont="1" applyFill="1" applyBorder="1" applyAlignment="1">
      <alignment horizontal="center"/>
    </xf>
    <xf numFmtId="0" fontId="0" fillId="0" borderId="37" xfId="0" applyFont="1" applyBorder="1" applyAlignment="1">
      <alignment horizontal="left"/>
    </xf>
    <xf numFmtId="0" fontId="0" fillId="0" borderId="38" xfId="0" applyFont="1" applyBorder="1" applyAlignment="1">
      <alignment horizontal="left"/>
    </xf>
    <xf numFmtId="0" fontId="0" fillId="0" borderId="39" xfId="0" applyFont="1" applyBorder="1" applyAlignment="1">
      <alignment horizontal="left"/>
    </xf>
    <xf numFmtId="0" fontId="0" fillId="0" borderId="2" xfId="0" applyFont="1" applyBorder="1" applyAlignment="1">
      <alignment horizontal="left"/>
    </xf>
    <xf numFmtId="0" fontId="0" fillId="0" borderId="22" xfId="0" applyFont="1" applyBorder="1" applyAlignment="1">
      <alignment horizontal="left"/>
    </xf>
    <xf numFmtId="0" fontId="4" fillId="0" borderId="8" xfId="0" applyFont="1" applyBorder="1" applyAlignment="1">
      <alignment horizontal="center" wrapText="1"/>
    </xf>
    <xf numFmtId="0" fontId="0" fillId="0" borderId="0" xfId="0" applyAlignment="1">
      <alignment horizontal="center"/>
    </xf>
    <xf numFmtId="0" fontId="11" fillId="3" borderId="15" xfId="0" applyFont="1" applyFill="1" applyBorder="1" applyAlignment="1">
      <alignment horizontal="center" vertical="center"/>
    </xf>
    <xf numFmtId="9" fontId="11" fillId="3" borderId="17" xfId="0" applyNumberFormat="1" applyFont="1" applyFill="1" applyBorder="1" applyAlignment="1">
      <alignment horizontal="center" vertical="center"/>
    </xf>
    <xf numFmtId="9" fontId="11" fillId="3" borderId="18" xfId="0" applyNumberFormat="1"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Undiscounted Annual Net Benefits of Watershed Management and Agricultural Support Project
</a:t>
            </a:r>
          </a:p>
        </c:rich>
      </c:tx>
      <c:layout/>
      <c:spPr>
        <a:noFill/>
        <a:ln>
          <a:noFill/>
        </a:ln>
      </c:spPr>
    </c:title>
    <c:plotArea>
      <c:layout/>
      <c:areaChart>
        <c:grouping val="standard"/>
        <c:varyColors val="0"/>
        <c:ser>
          <c:idx val="0"/>
          <c:order val="0"/>
          <c:spPr>
            <a:solidFill>
              <a:srgbClr val="0080C0"/>
            </a:solidFill>
          </c:spPr>
          <c:extLst>
            <c:ext xmlns:c14="http://schemas.microsoft.com/office/drawing/2007/8/2/chart" uri="{6F2FDCE9-48DA-4B69-8628-5D25D57E5C99}">
              <c14:invertSolidFillFmt>
                <c14:spPr>
                  <a:solidFill>
                    <a:srgbClr val="FFFFFF"/>
                  </a:solidFill>
                </c14:spPr>
              </c14:invertSolidFillFmt>
            </c:ext>
          </c:extLst>
          <c:val>
            <c:numRef>
              <c:f>'Ag ERR'!$B$22:$U$22</c:f>
              <c:numCache>
                <c:ptCount val="20"/>
                <c:pt idx="0">
                  <c:v>-3549405.3222300913</c:v>
                </c:pt>
                <c:pt idx="1">
                  <c:v>-3840524.222230868</c:v>
                </c:pt>
                <c:pt idx="2">
                  <c:v>-2080195.0595540523</c:v>
                </c:pt>
                <c:pt idx="3">
                  <c:v>-42769.23211574601</c:v>
                </c:pt>
                <c:pt idx="4">
                  <c:v>1018161.9291146394</c:v>
                </c:pt>
                <c:pt idx="5">
                  <c:v>1511092.3230015705</c:v>
                </c:pt>
                <c:pt idx="6">
                  <c:v>1511092.3230015705</c:v>
                </c:pt>
                <c:pt idx="7">
                  <c:v>1511092.3230015705</c:v>
                </c:pt>
                <c:pt idx="8">
                  <c:v>1511092.3230015705</c:v>
                </c:pt>
                <c:pt idx="9">
                  <c:v>1511092.3230015705</c:v>
                </c:pt>
                <c:pt idx="10">
                  <c:v>1511092.3230015705</c:v>
                </c:pt>
                <c:pt idx="11">
                  <c:v>1511092.3230015705</c:v>
                </c:pt>
                <c:pt idx="12">
                  <c:v>1511092.3230015705</c:v>
                </c:pt>
                <c:pt idx="13">
                  <c:v>1511092.3230015705</c:v>
                </c:pt>
                <c:pt idx="14">
                  <c:v>1511092.3230015705</c:v>
                </c:pt>
                <c:pt idx="15">
                  <c:v>1511092.3230015705</c:v>
                </c:pt>
                <c:pt idx="16">
                  <c:v>1511092.3230015705</c:v>
                </c:pt>
                <c:pt idx="17">
                  <c:v>1511092.3230015705</c:v>
                </c:pt>
                <c:pt idx="18">
                  <c:v>1511092.3230015705</c:v>
                </c:pt>
                <c:pt idx="19">
                  <c:v>1511092.3230015705</c:v>
                </c:pt>
              </c:numCache>
            </c:numRef>
          </c:val>
        </c:ser>
        <c:axId val="19740142"/>
        <c:axId val="35593207"/>
      </c:areaChart>
      <c:catAx>
        <c:axId val="19740142"/>
        <c:scaling>
          <c:orientation val="minMax"/>
        </c:scaling>
        <c:axPos val="b"/>
        <c:title>
          <c:tx>
            <c:rich>
              <a:bodyPr vert="horz" rot="0" anchor="ctr"/>
              <a:lstStyle/>
              <a:p>
                <a:pPr algn="ctr">
                  <a:defRPr/>
                </a:pPr>
                <a:r>
                  <a:rPr lang="en-US" cap="none" sz="10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5593207"/>
        <c:crosses val="autoZero"/>
        <c:auto val="1"/>
        <c:lblOffset val="100"/>
        <c:noMultiLvlLbl val="0"/>
      </c:catAx>
      <c:valAx>
        <c:axId val="35593207"/>
        <c:scaling>
          <c:orientation val="minMax"/>
        </c:scaling>
        <c:axPos val="l"/>
        <c:title>
          <c:tx>
            <c:rich>
              <a:bodyPr vert="horz" rot="-5400000" anchor="ctr"/>
              <a:lstStyle/>
              <a:p>
                <a:pPr algn="ctr">
                  <a:defRPr/>
                </a:pPr>
                <a:r>
                  <a:rPr lang="en-US" cap="none" sz="1050" b="1" i="0" u="none" baseline="0">
                    <a:latin typeface="Arial"/>
                    <a:ea typeface="Arial"/>
                    <a:cs typeface="Arial"/>
                  </a:rPr>
                  <a:t>US$</a:t>
                </a:r>
              </a:p>
            </c:rich>
          </c:tx>
          <c:layout/>
          <c:overlay val="0"/>
          <c:spPr>
            <a:noFill/>
            <a:ln>
              <a:noFill/>
            </a:ln>
          </c:spPr>
        </c:title>
        <c:majorGridlines/>
        <c:delete val="0"/>
        <c:numFmt formatCode="General" sourceLinked="1"/>
        <c:majorTickMark val="out"/>
        <c:minorTickMark val="none"/>
        <c:tickLblPos val="nextTo"/>
        <c:crossAx val="19740142"/>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Distribution of MCC Estimated ERR Given Uncertainties in Key Parameter Values
</a:t>
            </a:r>
            <a:r>
              <a:rPr lang="en-US" cap="none" sz="800" b="1" i="0" u="none" baseline="0">
                <a:latin typeface="Arial"/>
                <a:ea typeface="Arial"/>
                <a:cs typeface="Arial"/>
              </a:rPr>
              <a:t>(as of 5/9/2005)</a:t>
            </a:r>
          </a:p>
        </c:rich>
      </c:tx>
      <c:layout>
        <c:manualLayout>
          <c:xMode val="factor"/>
          <c:yMode val="factor"/>
          <c:x val="0.00975"/>
          <c:y val="-0.0035"/>
        </c:manualLayout>
      </c:layout>
      <c:spPr>
        <a:noFill/>
        <a:ln>
          <a:noFill/>
        </a:ln>
      </c:spPr>
    </c:title>
    <c:plotArea>
      <c:layout>
        <c:manualLayout>
          <c:xMode val="edge"/>
          <c:yMode val="edge"/>
          <c:x val="0.045"/>
          <c:y val="0.13275"/>
          <c:w val="0.94175"/>
          <c:h val="0.8665"/>
        </c:manualLayout>
      </c:layout>
      <c:barChart>
        <c:barDir val="col"/>
        <c:grouping val="stacked"/>
        <c:varyColors val="0"/>
        <c:ser>
          <c:idx val="0"/>
          <c:order val="0"/>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0.06950241989177518</c:v>
              </c:pt>
              <c:pt idx="10">
                <c:v>0.08072509708148175</c:v>
              </c:pt>
              <c:pt idx="20">
                <c:v>0.09194777427118833</c:v>
              </c:pt>
              <c:pt idx="30">
                <c:v>0.10317045146089492</c:v>
              </c:pt>
              <c:pt idx="40">
                <c:v>0.1143931286506015</c:v>
              </c:pt>
              <c:pt idx="49">
                <c:v>0.12449353812133743</c:v>
              </c:pt>
            </c:strLit>
          </c:cat>
          <c:val>
            <c:numLit>
              <c:ptCount val="50"/>
              <c:pt idx="9">
                <c:v>79</c:v>
              </c:pt>
              <c:pt idx="10">
                <c:v>115</c:v>
              </c:pt>
              <c:pt idx="11">
                <c:v>162</c:v>
              </c:pt>
              <c:pt idx="12">
                <c:v>175</c:v>
              </c:pt>
              <c:pt idx="13">
                <c:v>190</c:v>
              </c:pt>
              <c:pt idx="14">
                <c:v>264</c:v>
              </c:pt>
              <c:pt idx="15">
                <c:v>258</c:v>
              </c:pt>
              <c:pt idx="16">
                <c:v>328</c:v>
              </c:pt>
              <c:pt idx="17">
                <c:v>342</c:v>
              </c:pt>
              <c:pt idx="18">
                <c:v>380</c:v>
              </c:pt>
              <c:pt idx="19">
                <c:v>419</c:v>
              </c:pt>
              <c:pt idx="20">
                <c:v>395</c:v>
              </c:pt>
              <c:pt idx="21">
                <c:v>450</c:v>
              </c:pt>
              <c:pt idx="22">
                <c:v>461</c:v>
              </c:pt>
              <c:pt idx="23">
                <c:v>444</c:v>
              </c:pt>
              <c:pt idx="24">
                <c:v>441</c:v>
              </c:pt>
              <c:pt idx="25">
                <c:v>454</c:v>
              </c:pt>
              <c:pt idx="26">
                <c:v>453</c:v>
              </c:pt>
              <c:pt idx="27">
                <c:v>408</c:v>
              </c:pt>
              <c:pt idx="28">
                <c:v>388</c:v>
              </c:pt>
              <c:pt idx="29">
                <c:v>373</c:v>
              </c:pt>
              <c:pt idx="30">
                <c:v>354</c:v>
              </c:pt>
              <c:pt idx="31">
                <c:v>289</c:v>
              </c:pt>
              <c:pt idx="32">
                <c:v>297</c:v>
              </c:pt>
              <c:pt idx="33">
                <c:v>258</c:v>
              </c:pt>
              <c:pt idx="34">
                <c:v>227</c:v>
              </c:pt>
              <c:pt idx="35">
                <c:v>196</c:v>
              </c:pt>
              <c:pt idx="36">
                <c:v>194</c:v>
              </c:pt>
              <c:pt idx="37">
                <c:v>161</c:v>
              </c:pt>
              <c:pt idx="38">
                <c:v>125</c:v>
              </c:pt>
              <c:pt idx="39">
                <c:v>110</c:v>
              </c:pt>
              <c:pt idx="40">
                <c:v>82</c:v>
              </c:pt>
              <c:pt idx="41">
                <c:v>84</c:v>
              </c:pt>
              <c:pt idx="42">
                <c:v>66</c:v>
              </c:pt>
              <c:pt idx="43">
                <c:v>64</c:v>
              </c:pt>
            </c:numLit>
          </c:val>
        </c:ser>
        <c:ser>
          <c:idx val="1"/>
          <c:order val="1"/>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0.06950241989177518</c:v>
              </c:pt>
              <c:pt idx="10">
                <c:v>0.08072509708148175</c:v>
              </c:pt>
              <c:pt idx="20">
                <c:v>0.09194777427118833</c:v>
              </c:pt>
              <c:pt idx="30">
                <c:v>0.10317045146089492</c:v>
              </c:pt>
              <c:pt idx="40">
                <c:v>0.1143931286506015</c:v>
              </c:pt>
              <c:pt idx="49">
                <c:v>0.12449353812133743</c:v>
              </c:pt>
            </c:strLit>
          </c:cat>
          <c:val>
            <c:numLit>
              <c:ptCount val="50"/>
              <c:pt idx="0">
                <c:v>6</c:v>
              </c:pt>
              <c:pt idx="1">
                <c:v>10</c:v>
              </c:pt>
              <c:pt idx="2">
                <c:v>7</c:v>
              </c:pt>
              <c:pt idx="3">
                <c:v>13</c:v>
              </c:pt>
              <c:pt idx="4">
                <c:v>21</c:v>
              </c:pt>
              <c:pt idx="5">
                <c:v>41</c:v>
              </c:pt>
              <c:pt idx="6">
                <c:v>36</c:v>
              </c:pt>
              <c:pt idx="7">
                <c:v>54</c:v>
              </c:pt>
              <c:pt idx="8">
                <c:v>84</c:v>
              </c:pt>
              <c:pt idx="44">
                <c:v>51</c:v>
              </c:pt>
              <c:pt idx="45">
                <c:v>46</c:v>
              </c:pt>
              <c:pt idx="46">
                <c:v>22</c:v>
              </c:pt>
              <c:pt idx="47">
                <c:v>19</c:v>
              </c:pt>
              <c:pt idx="48">
                <c:v>20</c:v>
              </c:pt>
              <c:pt idx="49">
                <c:v>16</c:v>
              </c:pt>
            </c:numLit>
          </c:val>
        </c:ser>
        <c:overlap val="100"/>
        <c:gapWidth val="10"/>
        <c:axId val="25570044"/>
        <c:axId val="3333773"/>
      </c:barChart>
      <c:catAx>
        <c:axId val="25570044"/>
        <c:scaling>
          <c:orientation val="minMax"/>
        </c:scaling>
        <c:axPos val="b"/>
        <c:delete val="0"/>
        <c:numFmt formatCode="0%" sourceLinked="0"/>
        <c:majorTickMark val="out"/>
        <c:minorTickMark val="none"/>
        <c:tickLblPos val="nextTo"/>
        <c:crossAx val="3333773"/>
        <c:crosses val="autoZero"/>
        <c:auto val="0"/>
        <c:lblOffset val="100"/>
        <c:tickLblSkip val="1"/>
        <c:tickMarkSkip val="5"/>
        <c:noMultiLvlLbl val="0"/>
      </c:catAx>
      <c:valAx>
        <c:axId val="3333773"/>
        <c:scaling>
          <c:orientation val="minMax"/>
          <c:min val="0"/>
        </c:scaling>
        <c:axPos val="l"/>
        <c:title>
          <c:tx>
            <c:rich>
              <a:bodyPr vert="horz" rot="-5400000" anchor="ctr"/>
              <a:lstStyle/>
              <a:p>
                <a:pPr algn="ctr">
                  <a:defRPr/>
                </a:pPr>
                <a:r>
                  <a:rPr lang="en-US" cap="none" sz="800" b="1" i="0" u="none" baseline="0">
                    <a:latin typeface="Arial"/>
                    <a:ea typeface="Arial"/>
                    <a:cs typeface="Arial"/>
                  </a:rPr>
                  <a:t>Frequency</a:t>
                </a:r>
              </a:p>
            </c:rich>
          </c:tx>
          <c:layout/>
          <c:overlay val="0"/>
          <c:spPr>
            <a:noFill/>
            <a:ln>
              <a:noFill/>
            </a:ln>
          </c:spPr>
        </c:title>
        <c:majorGridlines>
          <c:spPr>
            <a:ln w="3175">
              <a:solidFill>
                <a:srgbClr val="0000FF"/>
              </a:solidFill>
              <a:prstDash val="sysDot"/>
            </a:ln>
          </c:spPr>
        </c:majorGridlines>
        <c:delete val="0"/>
        <c:numFmt formatCode="General" sourceLinked="1"/>
        <c:majorTickMark val="out"/>
        <c:minorTickMark val="none"/>
        <c:tickLblPos val="nextTo"/>
        <c:crossAx val="25570044"/>
        <c:crossesAt val="1"/>
        <c:crossBetween val="between"/>
        <c:dispUnits/>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image" Target="../media/image1.png" /><Relationship Id="rId4" Type="http://schemas.openxmlformats.org/officeDocument/2006/relationships/chart" Target="/xl/charts/chart2.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19050</xdr:colOff>
      <xdr:row>5</xdr:row>
      <xdr:rowOff>19050</xdr:rowOff>
    </xdr:to>
    <xdr:pic>
      <xdr:nvPicPr>
        <xdr:cNvPr id="1" name="Picture 3"/>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23</xdr:row>
      <xdr:rowOff>19050</xdr:rowOff>
    </xdr:from>
    <xdr:to>
      <xdr:col>1</xdr:col>
      <xdr:colOff>2190750</xdr:colOff>
      <xdr:row>24</xdr:row>
      <xdr:rowOff>9525</xdr:rowOff>
    </xdr:to>
    <xdr:pic>
      <xdr:nvPicPr>
        <xdr:cNvPr id="1" name="Picture 1"/>
        <xdr:cNvPicPr preferRelativeResize="1">
          <a:picLocks noChangeAspect="1"/>
        </xdr:cNvPicPr>
      </xdr:nvPicPr>
      <xdr:blipFill>
        <a:blip r:embed="rId1"/>
        <a:stretch>
          <a:fillRect/>
        </a:stretch>
      </xdr:blipFill>
      <xdr:spPr>
        <a:xfrm>
          <a:off x="352425" y="10267950"/>
          <a:ext cx="21621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28</xdr:row>
      <xdr:rowOff>28575</xdr:rowOff>
    </xdr:from>
    <xdr:to>
      <xdr:col>5</xdr:col>
      <xdr:colOff>295275</xdr:colOff>
      <xdr:row>54</xdr:row>
      <xdr:rowOff>142875</xdr:rowOff>
    </xdr:to>
    <xdr:graphicFrame>
      <xdr:nvGraphicFramePr>
        <xdr:cNvPr id="1" name="Chart 1"/>
        <xdr:cNvGraphicFramePr/>
      </xdr:nvGraphicFramePr>
      <xdr:xfrm>
        <a:off x="638175" y="8277225"/>
        <a:ext cx="6934200" cy="432435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781050</xdr:colOff>
      <xdr:row>1</xdr:row>
      <xdr:rowOff>123825</xdr:rowOff>
    </xdr:from>
    <xdr:to>
      <xdr:col>8</xdr:col>
      <xdr:colOff>600075</xdr:colOff>
      <xdr:row>1</xdr:row>
      <xdr:rowOff>276225</xdr:rowOff>
    </xdr:to>
    <xdr:pic>
      <xdr:nvPicPr>
        <xdr:cNvPr id="2" name="Picture 2"/>
        <xdr:cNvPicPr preferRelativeResize="1">
          <a:picLocks noChangeAspect="1"/>
        </xdr:cNvPicPr>
      </xdr:nvPicPr>
      <xdr:blipFill>
        <a:blip r:embed="rId2"/>
        <a:stretch>
          <a:fillRect/>
        </a:stretch>
      </xdr:blipFill>
      <xdr:spPr>
        <a:xfrm>
          <a:off x="8058150" y="285750"/>
          <a:ext cx="2162175" cy="15240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1"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3"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00000000000000000000000000000000"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0"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xdr:from>
      <xdr:col>1</xdr:col>
      <xdr:colOff>304800</xdr:colOff>
      <xdr:row>58</xdr:row>
      <xdr:rowOff>66675</xdr:rowOff>
    </xdr:from>
    <xdr:to>
      <xdr:col>5</xdr:col>
      <xdr:colOff>304800</xdr:colOff>
      <xdr:row>78</xdr:row>
      <xdr:rowOff>57150</xdr:rowOff>
    </xdr:to>
    <xdr:graphicFrame>
      <xdr:nvGraphicFramePr>
        <xdr:cNvPr id="7" name="Chart 13"/>
        <xdr:cNvGraphicFramePr/>
      </xdr:nvGraphicFramePr>
      <xdr:xfrm>
        <a:off x="685800" y="13173075"/>
        <a:ext cx="6896100"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0</xdr:row>
      <xdr:rowOff>0</xdr:rowOff>
    </xdr:from>
    <xdr:to>
      <xdr:col>0</xdr:col>
      <xdr:colOff>9525</xdr:colOff>
      <xdr:row>0</xdr:row>
      <xdr:rowOff>9525</xdr:rowOff>
    </xdr:to>
    <xdr:pic>
      <xdr:nvPicPr>
        <xdr:cNvPr id="8" name="CB_Block_7.0.0.0:1"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vmlDrawing" Target="../drawings/vmlDrawing15.v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60"/>
  <sheetViews>
    <sheetView showGridLines="0" workbookViewId="0" topLeftCell="A1">
      <selection activeCell="B9" sqref="B9"/>
    </sheetView>
  </sheetViews>
  <sheetFormatPr defaultColWidth="9.140625" defaultRowHeight="12.75"/>
  <cols>
    <col min="1" max="1" width="39.57421875" style="0" customWidth="1"/>
    <col min="2" max="2" width="106.421875" style="0" customWidth="1"/>
  </cols>
  <sheetData>
    <row r="1" ht="12.75">
      <c r="B1" s="308" t="s">
        <v>394</v>
      </c>
    </row>
    <row r="2" ht="20.25" customHeight="1">
      <c r="B2" s="375" t="s">
        <v>410</v>
      </c>
    </row>
    <row r="3" ht="12.75" customHeight="1">
      <c r="B3" s="375"/>
    </row>
    <row r="4" ht="12.75" customHeight="1">
      <c r="B4" s="375"/>
    </row>
    <row r="5" ht="12.75" customHeight="1">
      <c r="B5" s="375"/>
    </row>
    <row r="6" ht="12.75" customHeight="1">
      <c r="B6" s="375"/>
    </row>
    <row r="7" ht="13.5" thickBot="1"/>
    <row r="8" spans="1:2" ht="18" customHeight="1" thickBot="1" thickTop="1">
      <c r="A8" s="293" t="s">
        <v>347</v>
      </c>
      <c r="B8" s="309" t="s">
        <v>411</v>
      </c>
    </row>
    <row r="9" spans="1:3" ht="18" customHeight="1" thickTop="1">
      <c r="A9" s="294" t="s">
        <v>361</v>
      </c>
      <c r="B9" s="310" t="s">
        <v>363</v>
      </c>
      <c r="C9" s="292"/>
    </row>
    <row r="10" spans="1:3" ht="18" customHeight="1">
      <c r="A10" s="295" t="s">
        <v>362</v>
      </c>
      <c r="B10" s="311">
        <v>38481</v>
      </c>
      <c r="C10" s="292"/>
    </row>
    <row r="11" spans="1:2" ht="18" customHeight="1">
      <c r="A11" s="294" t="s">
        <v>348</v>
      </c>
      <c r="B11" s="312">
        <v>10848630</v>
      </c>
    </row>
    <row r="12" spans="1:2" ht="111" customHeight="1">
      <c r="A12" s="372" t="s">
        <v>354</v>
      </c>
      <c r="B12" s="313" t="s">
        <v>355</v>
      </c>
    </row>
    <row r="13" spans="1:2" ht="6.75" customHeight="1">
      <c r="A13" s="373"/>
      <c r="B13" s="314"/>
    </row>
    <row r="14" spans="1:2" ht="12.75">
      <c r="A14" s="373"/>
      <c r="B14" s="314" t="s">
        <v>356</v>
      </c>
    </row>
    <row r="15" spans="1:2" ht="6.75" customHeight="1">
      <c r="A15" s="373"/>
      <c r="B15" s="314"/>
    </row>
    <row r="16" spans="1:2" ht="32.25" customHeight="1">
      <c r="A16" s="373"/>
      <c r="B16" s="314" t="s">
        <v>370</v>
      </c>
    </row>
    <row r="17" spans="1:2" ht="25.5">
      <c r="A17" s="373"/>
      <c r="B17" s="314" t="s">
        <v>357</v>
      </c>
    </row>
    <row r="18" spans="1:2" ht="24" customHeight="1">
      <c r="A18" s="374"/>
      <c r="B18" s="315" t="s">
        <v>358</v>
      </c>
    </row>
    <row r="19" spans="1:2" ht="18" customHeight="1">
      <c r="A19" s="372" t="s">
        <v>351</v>
      </c>
      <c r="B19" s="314" t="s">
        <v>368</v>
      </c>
    </row>
    <row r="20" spans="1:2" ht="18" customHeight="1">
      <c r="A20" s="373"/>
      <c r="B20" s="314" t="s">
        <v>359</v>
      </c>
    </row>
    <row r="21" spans="1:2" ht="18" customHeight="1">
      <c r="A21" s="373"/>
      <c r="B21" s="314" t="s">
        <v>371</v>
      </c>
    </row>
    <row r="22" spans="1:2" ht="18" customHeight="1">
      <c r="A22" s="374"/>
      <c r="B22" s="314" t="s">
        <v>360</v>
      </c>
    </row>
    <row r="23" spans="1:2" ht="25.5">
      <c r="A23" s="295" t="s">
        <v>352</v>
      </c>
      <c r="B23" s="316" t="s">
        <v>353</v>
      </c>
    </row>
    <row r="24" spans="1:2" ht="18" customHeight="1">
      <c r="A24" s="296" t="s">
        <v>349</v>
      </c>
      <c r="B24" s="317" t="s">
        <v>350</v>
      </c>
    </row>
    <row r="25" spans="1:2" ht="12.75">
      <c r="A25" s="296"/>
      <c r="B25" s="318"/>
    </row>
    <row r="26" spans="1:2" ht="12.75">
      <c r="A26" s="376" t="s">
        <v>364</v>
      </c>
      <c r="B26" s="319" t="s">
        <v>331</v>
      </c>
    </row>
    <row r="27" spans="1:2" ht="12.75">
      <c r="A27" s="376"/>
      <c r="B27" s="320" t="s">
        <v>345</v>
      </c>
    </row>
    <row r="28" spans="1:2" ht="12.75">
      <c r="A28" s="376"/>
      <c r="B28" s="320"/>
    </row>
    <row r="29" spans="1:2" ht="12.75">
      <c r="A29" s="376"/>
      <c r="B29" s="319" t="s">
        <v>333</v>
      </c>
    </row>
    <row r="30" spans="1:2" ht="25.5">
      <c r="A30" s="376"/>
      <c r="B30" s="321" t="s">
        <v>369</v>
      </c>
    </row>
    <row r="31" spans="1:2" ht="12.75">
      <c r="A31" s="376"/>
      <c r="B31" s="320"/>
    </row>
    <row r="32" spans="1:2" ht="12.75">
      <c r="A32" s="376"/>
      <c r="B32" s="322" t="s">
        <v>334</v>
      </c>
    </row>
    <row r="33" spans="1:2" ht="12.75">
      <c r="A33" s="376"/>
      <c r="B33" s="320" t="s">
        <v>365</v>
      </c>
    </row>
    <row r="34" spans="1:2" ht="12.75">
      <c r="A34" s="376"/>
      <c r="B34" s="320"/>
    </row>
    <row r="35" spans="1:2" ht="12.75">
      <c r="A35" s="376"/>
      <c r="B35" s="322" t="s">
        <v>332</v>
      </c>
    </row>
    <row r="36" spans="1:2" ht="12.75">
      <c r="A36" s="376"/>
      <c r="B36" s="320" t="s">
        <v>346</v>
      </c>
    </row>
    <row r="37" spans="1:2" ht="12.75">
      <c r="A37" s="376"/>
      <c r="B37" s="320"/>
    </row>
    <row r="38" spans="1:2" ht="12.75">
      <c r="A38" s="376"/>
      <c r="B38" s="322" t="s">
        <v>335</v>
      </c>
    </row>
    <row r="39" spans="1:2" ht="25.5">
      <c r="A39" s="376"/>
      <c r="B39" s="320" t="s">
        <v>372</v>
      </c>
    </row>
    <row r="40" spans="1:2" ht="12.75">
      <c r="A40" s="376"/>
      <c r="B40" s="320"/>
    </row>
    <row r="41" spans="1:2" ht="12.75">
      <c r="A41" s="376"/>
      <c r="B41" s="322" t="s">
        <v>193</v>
      </c>
    </row>
    <row r="42" spans="1:2" ht="12.75">
      <c r="A42" s="376"/>
      <c r="B42" s="320" t="s">
        <v>373</v>
      </c>
    </row>
    <row r="43" spans="1:2" ht="12.75">
      <c r="A43" s="376"/>
      <c r="B43" s="320"/>
    </row>
    <row r="44" spans="1:2" ht="12.75">
      <c r="A44" s="376"/>
      <c r="B44" s="322" t="s">
        <v>336</v>
      </c>
    </row>
    <row r="45" spans="1:2" ht="25.5">
      <c r="A45" s="376"/>
      <c r="B45" s="320" t="s">
        <v>366</v>
      </c>
    </row>
    <row r="46" spans="1:2" ht="12.75">
      <c r="A46" s="376"/>
      <c r="B46" s="320"/>
    </row>
    <row r="47" spans="1:2" ht="12.75">
      <c r="A47" s="376"/>
      <c r="B47" s="322" t="s">
        <v>337</v>
      </c>
    </row>
    <row r="48" spans="1:2" ht="12.75">
      <c r="A48" s="376"/>
      <c r="B48" s="320" t="s">
        <v>367</v>
      </c>
    </row>
    <row r="49" spans="1:2" ht="12.75">
      <c r="A49" s="376"/>
      <c r="B49" s="320"/>
    </row>
    <row r="50" spans="1:2" ht="12.75">
      <c r="A50" s="376"/>
      <c r="B50" s="322" t="s">
        <v>338</v>
      </c>
    </row>
    <row r="51" spans="1:2" ht="12.75">
      <c r="A51" s="376"/>
      <c r="B51" s="320" t="s">
        <v>341</v>
      </c>
    </row>
    <row r="52" spans="1:2" ht="12.75">
      <c r="A52" s="376"/>
      <c r="B52" s="320"/>
    </row>
    <row r="53" spans="1:2" ht="12.75">
      <c r="A53" s="376"/>
      <c r="B53" s="322" t="s">
        <v>339</v>
      </c>
    </row>
    <row r="54" spans="1:2" ht="12.75">
      <c r="A54" s="376"/>
      <c r="B54" s="320" t="s">
        <v>343</v>
      </c>
    </row>
    <row r="55" spans="1:2" ht="12.75">
      <c r="A55" s="376"/>
      <c r="B55" s="320"/>
    </row>
    <row r="56" spans="1:2" ht="12.75">
      <c r="A56" s="376"/>
      <c r="B56" s="322" t="s">
        <v>340</v>
      </c>
    </row>
    <row r="57" spans="1:2" ht="12.75">
      <c r="A57" s="376"/>
      <c r="B57" s="320" t="s">
        <v>344</v>
      </c>
    </row>
    <row r="58" spans="1:2" ht="13.5" thickBot="1">
      <c r="A58" s="323"/>
      <c r="B58" s="324"/>
    </row>
    <row r="59" spans="1:3" ht="13.5" thickTop="1">
      <c r="A59" s="292"/>
      <c r="B59" s="292"/>
      <c r="C59" s="292"/>
    </row>
    <row r="60" ht="12.75">
      <c r="C60" s="292"/>
    </row>
  </sheetData>
  <mergeCells count="4">
    <mergeCell ref="A19:A22"/>
    <mergeCell ref="A12:A18"/>
    <mergeCell ref="B2:B6"/>
    <mergeCell ref="A26:A57"/>
  </mergeCells>
  <hyperlinks>
    <hyperlink ref="B56" location="'Crop Data'!A1" display="Crop Data"/>
    <hyperlink ref="B53" location="'Financial Model'!A1" display="Financial Model"/>
    <hyperlink ref="B50" location="'Value-Added'!A1" display="Value-Added"/>
    <hyperlink ref="B47" location="Coffee!A1" display="Coffee"/>
    <hyperlink ref="B44" location="Agribusiness!A1" display="Agribusiness"/>
    <hyperlink ref="B41" location="MFIs!A1" display="MFIs"/>
    <hyperlink ref="B38" location="Horticulture!A1" display="Horticulture"/>
    <hyperlink ref="B35" location="'Admin Costs'!A1" display="Admin Costs"/>
    <hyperlink ref="B32" location="'Program Costs'!A1" display="Program Costs"/>
    <hyperlink ref="B29" location="'Ag ERR'!A1" display="Ag ERR"/>
    <hyperlink ref="B26" location="'ERR &amp; Sensitivity Analysis'!A1" display="ERR &amp; Sensitivity Analysis"/>
  </hyperlinks>
  <printOptions/>
  <pageMargins left="0.56" right="0.19" top="0.5" bottom="1" header="0.5" footer="0.5"/>
  <pageSetup fitToHeight="1" fitToWidth="1" horizontalDpi="600" verticalDpi="600" orientation="portrait" scale="74" r:id="rId2"/>
  <colBreaks count="1" manualBreakCount="1">
    <brk id="2" max="65535" man="1"/>
  </colBreaks>
  <drawing r:id="rId1"/>
</worksheet>
</file>

<file path=xl/worksheets/sheet10.xml><?xml version="1.0" encoding="utf-8"?>
<worksheet xmlns="http://schemas.openxmlformats.org/spreadsheetml/2006/main" xmlns:r="http://schemas.openxmlformats.org/officeDocument/2006/relationships">
  <sheetPr codeName="Sheet8">
    <pageSetUpPr fitToPage="1"/>
  </sheetPr>
  <dimension ref="A1:U30"/>
  <sheetViews>
    <sheetView workbookViewId="0" topLeftCell="A1">
      <selection activeCell="G2" sqref="G2"/>
    </sheetView>
  </sheetViews>
  <sheetFormatPr defaultColWidth="9.140625" defaultRowHeight="12.75"/>
  <cols>
    <col min="1" max="1" width="49.140625" style="3" customWidth="1"/>
    <col min="2" max="2" width="9.7109375" style="3" bestFit="1" customWidth="1"/>
    <col min="3" max="3" width="10.28125" style="3" bestFit="1" customWidth="1"/>
    <col min="4" max="4" width="9.140625" style="3" customWidth="1"/>
    <col min="5" max="5" width="11.28125" style="3" bestFit="1" customWidth="1"/>
    <col min="6" max="16384" width="9.140625" style="3" customWidth="1"/>
  </cols>
  <sheetData>
    <row r="1" ht="20.25">
      <c r="A1" s="86" t="s">
        <v>318</v>
      </c>
    </row>
    <row r="2" spans="1:6" ht="12.75">
      <c r="A2" s="371">
        <f>IF('ERR &amp; Sensitivity Analysis'!$I$10="N","Note: Current calculations are based on user input and are not the original MCC estimates.",IF('ERR &amp; Sensitivity Analysis'!$I$11="N","Note: Current calculations are based on user input and are not the original MCC estimates.",0))</f>
        <v>0</v>
      </c>
      <c r="B2" s="371"/>
      <c r="C2" s="371"/>
      <c r="D2" s="371"/>
      <c r="E2" s="371"/>
      <c r="F2" s="371"/>
    </row>
    <row r="3" ht="18">
      <c r="A3" s="88" t="s">
        <v>328</v>
      </c>
    </row>
    <row r="4" ht="12.75">
      <c r="A4" s="2"/>
    </row>
    <row r="5" ht="12.75">
      <c r="A5" s="3" t="s">
        <v>227</v>
      </c>
    </row>
    <row r="6" spans="1:2" ht="12.75">
      <c r="A6" s="3" t="s">
        <v>225</v>
      </c>
      <c r="B6" s="97">
        <f>'ERR &amp; Sensitivity Analysis'!D20</f>
        <v>0.25</v>
      </c>
    </row>
    <row r="7" spans="1:3" ht="12.75">
      <c r="A7" s="3" t="s">
        <v>226</v>
      </c>
      <c r="B7" s="180">
        <f>MFIs!B6</f>
        <v>0.12</v>
      </c>
      <c r="C7" s="3" t="s">
        <v>186</v>
      </c>
    </row>
    <row r="8" spans="1:2" ht="12.75">
      <c r="A8" s="3" t="s">
        <v>228</v>
      </c>
      <c r="B8" s="180">
        <f>B6-B7</f>
        <v>0.13</v>
      </c>
    </row>
    <row r="9" spans="1:2" ht="12.75">
      <c r="A9" s="3" t="s">
        <v>229</v>
      </c>
      <c r="B9" s="181">
        <v>100000</v>
      </c>
    </row>
    <row r="10" spans="1:3" ht="12.75">
      <c r="A10" s="3" t="s">
        <v>230</v>
      </c>
      <c r="B10" s="181">
        <f>B9*B8</f>
        <v>13000</v>
      </c>
      <c r="C10" s="3" t="s">
        <v>224</v>
      </c>
    </row>
    <row r="11" ht="12.75">
      <c r="B11" s="181"/>
    </row>
    <row r="12" ht="12.75">
      <c r="B12" s="181"/>
    </row>
    <row r="13" spans="1:11" ht="12.75">
      <c r="A13" s="391" t="s">
        <v>296</v>
      </c>
      <c r="B13" s="392"/>
      <c r="C13" s="392"/>
      <c r="D13" s="392"/>
      <c r="E13" s="392"/>
      <c r="F13" s="392"/>
      <c r="G13" s="392"/>
      <c r="H13" s="392"/>
      <c r="I13" s="392"/>
      <c r="J13" s="392"/>
      <c r="K13" s="393"/>
    </row>
    <row r="14" spans="1:11" ht="12.75">
      <c r="A14" s="388" t="s">
        <v>294</v>
      </c>
      <c r="B14" s="389"/>
      <c r="C14" s="389"/>
      <c r="D14" s="389"/>
      <c r="E14" s="389"/>
      <c r="F14" s="389"/>
      <c r="G14" s="389"/>
      <c r="H14" s="389"/>
      <c r="I14" s="389"/>
      <c r="J14" s="389"/>
      <c r="K14" s="390"/>
    </row>
    <row r="15" spans="1:21" s="93" customFormat="1" ht="12.75">
      <c r="A15" s="67" t="s">
        <v>231</v>
      </c>
      <c r="B15" s="139" t="s">
        <v>61</v>
      </c>
      <c r="C15" s="182" t="s">
        <v>62</v>
      </c>
      <c r="D15" s="182" t="s">
        <v>63</v>
      </c>
      <c r="E15" s="182" t="s">
        <v>144</v>
      </c>
      <c r="F15" s="182" t="s">
        <v>145</v>
      </c>
      <c r="G15" s="182" t="s">
        <v>146</v>
      </c>
      <c r="H15" s="182" t="s">
        <v>147</v>
      </c>
      <c r="I15" s="182" t="s">
        <v>148</v>
      </c>
      <c r="J15" s="182" t="s">
        <v>149</v>
      </c>
      <c r="K15" s="182" t="s">
        <v>150</v>
      </c>
      <c r="L15" s="182" t="s">
        <v>151</v>
      </c>
      <c r="M15" s="182" t="s">
        <v>152</v>
      </c>
      <c r="N15" s="182" t="s">
        <v>153</v>
      </c>
      <c r="O15" s="182" t="s">
        <v>154</v>
      </c>
      <c r="P15" s="182" t="s">
        <v>155</v>
      </c>
      <c r="Q15" s="182" t="s">
        <v>156</v>
      </c>
      <c r="R15" s="182" t="s">
        <v>157</v>
      </c>
      <c r="S15" s="182" t="s">
        <v>158</v>
      </c>
      <c r="T15" s="182" t="s">
        <v>159</v>
      </c>
      <c r="U15" s="182" t="s">
        <v>160</v>
      </c>
    </row>
    <row r="16" spans="1:21" s="93" customFormat="1" ht="12.75">
      <c r="A16" s="49" t="s">
        <v>170</v>
      </c>
      <c r="B16" s="47"/>
      <c r="C16" s="122">
        <f>C20/3</f>
        <v>2888.8888888888887</v>
      </c>
      <c r="D16" s="122">
        <f>D20/3</f>
        <v>4333.333333333333</v>
      </c>
      <c r="E16" s="122">
        <f>E20/3</f>
        <v>4333.333333333333</v>
      </c>
      <c r="F16" s="122">
        <f aca="true" t="shared" si="0" ref="F16:U16">F20/3</f>
        <v>4333.333333333333</v>
      </c>
      <c r="G16" s="122">
        <f t="shared" si="0"/>
        <v>4333.333333333333</v>
      </c>
      <c r="H16" s="122">
        <f t="shared" si="0"/>
        <v>4333.333333333333</v>
      </c>
      <c r="I16" s="122">
        <f t="shared" si="0"/>
        <v>4333.333333333333</v>
      </c>
      <c r="J16" s="122">
        <f t="shared" si="0"/>
        <v>4333.333333333333</v>
      </c>
      <c r="K16" s="122">
        <f t="shared" si="0"/>
        <v>4333.333333333333</v>
      </c>
      <c r="L16" s="122">
        <f t="shared" si="0"/>
        <v>4333.333333333333</v>
      </c>
      <c r="M16" s="122">
        <f t="shared" si="0"/>
        <v>4333.333333333333</v>
      </c>
      <c r="N16" s="122">
        <f t="shared" si="0"/>
        <v>4333.333333333333</v>
      </c>
      <c r="O16" s="122">
        <f t="shared" si="0"/>
        <v>4333.333333333333</v>
      </c>
      <c r="P16" s="122">
        <f t="shared" si="0"/>
        <v>4333.333333333333</v>
      </c>
      <c r="Q16" s="122">
        <f t="shared" si="0"/>
        <v>4333.333333333333</v>
      </c>
      <c r="R16" s="122">
        <f t="shared" si="0"/>
        <v>4333.333333333333</v>
      </c>
      <c r="S16" s="122">
        <f t="shared" si="0"/>
        <v>4333.333333333333</v>
      </c>
      <c r="T16" s="122">
        <f t="shared" si="0"/>
        <v>4333.333333333333</v>
      </c>
      <c r="U16" s="165">
        <f t="shared" si="0"/>
        <v>4333.333333333333</v>
      </c>
    </row>
    <row r="17" spans="1:21" s="93" customFormat="1" ht="12.75">
      <c r="A17" s="49" t="s">
        <v>171</v>
      </c>
      <c r="B17" s="47"/>
      <c r="C17" s="122">
        <f>C20/3</f>
        <v>2888.8888888888887</v>
      </c>
      <c r="D17" s="122">
        <f>D20/3</f>
        <v>4333.333333333333</v>
      </c>
      <c r="E17" s="122">
        <f>E20/3</f>
        <v>4333.333333333333</v>
      </c>
      <c r="F17" s="122">
        <f aca="true" t="shared" si="1" ref="F17:U17">F20/3</f>
        <v>4333.333333333333</v>
      </c>
      <c r="G17" s="122">
        <f t="shared" si="1"/>
        <v>4333.333333333333</v>
      </c>
      <c r="H17" s="122">
        <f t="shared" si="1"/>
        <v>4333.333333333333</v>
      </c>
      <c r="I17" s="122">
        <f t="shared" si="1"/>
        <v>4333.333333333333</v>
      </c>
      <c r="J17" s="122">
        <f t="shared" si="1"/>
        <v>4333.333333333333</v>
      </c>
      <c r="K17" s="122">
        <f t="shared" si="1"/>
        <v>4333.333333333333</v>
      </c>
      <c r="L17" s="122">
        <f t="shared" si="1"/>
        <v>4333.333333333333</v>
      </c>
      <c r="M17" s="122">
        <f t="shared" si="1"/>
        <v>4333.333333333333</v>
      </c>
      <c r="N17" s="122">
        <f t="shared" si="1"/>
        <v>4333.333333333333</v>
      </c>
      <c r="O17" s="122">
        <f t="shared" si="1"/>
        <v>4333.333333333333</v>
      </c>
      <c r="P17" s="122">
        <f t="shared" si="1"/>
        <v>4333.333333333333</v>
      </c>
      <c r="Q17" s="122">
        <f t="shared" si="1"/>
        <v>4333.333333333333</v>
      </c>
      <c r="R17" s="122">
        <f t="shared" si="1"/>
        <v>4333.333333333333</v>
      </c>
      <c r="S17" s="122">
        <f t="shared" si="1"/>
        <v>4333.333333333333</v>
      </c>
      <c r="T17" s="122">
        <f t="shared" si="1"/>
        <v>4333.333333333333</v>
      </c>
      <c r="U17" s="165">
        <f t="shared" si="1"/>
        <v>4333.333333333333</v>
      </c>
    </row>
    <row r="18" spans="1:21" s="93" customFormat="1" ht="12.75">
      <c r="A18" s="49" t="s">
        <v>169</v>
      </c>
      <c r="B18" s="47"/>
      <c r="C18" s="122">
        <f>C20/3</f>
        <v>2888.8888888888887</v>
      </c>
      <c r="D18" s="122">
        <f>D20/3</f>
        <v>4333.333333333333</v>
      </c>
      <c r="E18" s="122">
        <f>E20/3</f>
        <v>4333.333333333333</v>
      </c>
      <c r="F18" s="122">
        <f aca="true" t="shared" si="2" ref="F18:U18">F20/3</f>
        <v>4333.333333333333</v>
      </c>
      <c r="G18" s="122">
        <f t="shared" si="2"/>
        <v>4333.333333333333</v>
      </c>
      <c r="H18" s="122">
        <f t="shared" si="2"/>
        <v>4333.333333333333</v>
      </c>
      <c r="I18" s="122">
        <f t="shared" si="2"/>
        <v>4333.333333333333</v>
      </c>
      <c r="J18" s="122">
        <f t="shared" si="2"/>
        <v>4333.333333333333</v>
      </c>
      <c r="K18" s="122">
        <f t="shared" si="2"/>
        <v>4333.333333333333</v>
      </c>
      <c r="L18" s="122">
        <f t="shared" si="2"/>
        <v>4333.333333333333</v>
      </c>
      <c r="M18" s="122">
        <f t="shared" si="2"/>
        <v>4333.333333333333</v>
      </c>
      <c r="N18" s="122">
        <f t="shared" si="2"/>
        <v>4333.333333333333</v>
      </c>
      <c r="O18" s="122">
        <f t="shared" si="2"/>
        <v>4333.333333333333</v>
      </c>
      <c r="P18" s="122">
        <f t="shared" si="2"/>
        <v>4333.333333333333</v>
      </c>
      <c r="Q18" s="122">
        <f t="shared" si="2"/>
        <v>4333.333333333333</v>
      </c>
      <c r="R18" s="122">
        <f t="shared" si="2"/>
        <v>4333.333333333333</v>
      </c>
      <c r="S18" s="122">
        <f t="shared" si="2"/>
        <v>4333.333333333333</v>
      </c>
      <c r="T18" s="122">
        <f t="shared" si="2"/>
        <v>4333.333333333333</v>
      </c>
      <c r="U18" s="165">
        <f t="shared" si="2"/>
        <v>4333.333333333333</v>
      </c>
    </row>
    <row r="19" spans="1:21" s="93" customFormat="1" ht="12.75">
      <c r="A19" s="49"/>
      <c r="B19" s="47"/>
      <c r="C19" s="47"/>
      <c r="D19" s="47"/>
      <c r="E19" s="47"/>
      <c r="F19" s="47"/>
      <c r="G19" s="47"/>
      <c r="H19" s="47"/>
      <c r="I19" s="47"/>
      <c r="J19" s="47"/>
      <c r="K19" s="47"/>
      <c r="L19" s="47"/>
      <c r="M19" s="47"/>
      <c r="N19" s="47"/>
      <c r="O19" s="47"/>
      <c r="P19" s="47"/>
      <c r="Q19" s="47"/>
      <c r="R19" s="47"/>
      <c r="S19" s="47"/>
      <c r="T19" s="47"/>
      <c r="U19" s="123"/>
    </row>
    <row r="20" spans="1:21" ht="12.75">
      <c r="A20" s="145" t="s">
        <v>232</v>
      </c>
      <c r="B20" s="146"/>
      <c r="C20" s="196">
        <v>8666.666666666666</v>
      </c>
      <c r="D20" s="196">
        <v>13000</v>
      </c>
      <c r="E20" s="196">
        <f>B9*B8</f>
        <v>13000</v>
      </c>
      <c r="F20" s="196">
        <f>E20</f>
        <v>13000</v>
      </c>
      <c r="G20" s="196">
        <f aca="true" t="shared" si="3" ref="G20:U20">F20</f>
        <v>13000</v>
      </c>
      <c r="H20" s="196">
        <f t="shared" si="3"/>
        <v>13000</v>
      </c>
      <c r="I20" s="196">
        <f t="shared" si="3"/>
        <v>13000</v>
      </c>
      <c r="J20" s="196">
        <f t="shared" si="3"/>
        <v>13000</v>
      </c>
      <c r="K20" s="196">
        <f t="shared" si="3"/>
        <v>13000</v>
      </c>
      <c r="L20" s="196">
        <f t="shared" si="3"/>
        <v>13000</v>
      </c>
      <c r="M20" s="196">
        <f t="shared" si="3"/>
        <v>13000</v>
      </c>
      <c r="N20" s="196">
        <f t="shared" si="3"/>
        <v>13000</v>
      </c>
      <c r="O20" s="196">
        <f t="shared" si="3"/>
        <v>13000</v>
      </c>
      <c r="P20" s="196">
        <f t="shared" si="3"/>
        <v>13000</v>
      </c>
      <c r="Q20" s="196">
        <f t="shared" si="3"/>
        <v>13000</v>
      </c>
      <c r="R20" s="196">
        <f t="shared" si="3"/>
        <v>13000</v>
      </c>
      <c r="S20" s="196">
        <f t="shared" si="3"/>
        <v>13000</v>
      </c>
      <c r="T20" s="196">
        <f t="shared" si="3"/>
        <v>13000</v>
      </c>
      <c r="U20" s="162">
        <f t="shared" si="3"/>
        <v>13000</v>
      </c>
    </row>
    <row r="22" spans="1:11" ht="12.75">
      <c r="A22" s="391" t="s">
        <v>295</v>
      </c>
      <c r="B22" s="392"/>
      <c r="C22" s="392"/>
      <c r="D22" s="392"/>
      <c r="E22" s="392"/>
      <c r="F22" s="392"/>
      <c r="G22" s="392"/>
      <c r="H22" s="392"/>
      <c r="I22" s="392"/>
      <c r="J22" s="392"/>
      <c r="K22" s="393"/>
    </row>
    <row r="23" spans="1:11" ht="12.75">
      <c r="A23" s="388" t="s">
        <v>257</v>
      </c>
      <c r="B23" s="389"/>
      <c r="C23" s="389"/>
      <c r="D23" s="389"/>
      <c r="E23" s="389"/>
      <c r="F23" s="389"/>
      <c r="G23" s="389"/>
      <c r="H23" s="389"/>
      <c r="I23" s="389"/>
      <c r="J23" s="389"/>
      <c r="K23" s="390"/>
    </row>
    <row r="24" spans="1:21" ht="12.75">
      <c r="A24" s="18" t="s">
        <v>231</v>
      </c>
      <c r="B24" s="139" t="s">
        <v>61</v>
      </c>
      <c r="C24" s="182" t="s">
        <v>62</v>
      </c>
      <c r="D24" s="182" t="s">
        <v>63</v>
      </c>
      <c r="E24" s="182" t="s">
        <v>144</v>
      </c>
      <c r="F24" s="182" t="s">
        <v>145</v>
      </c>
      <c r="G24" s="182" t="s">
        <v>146</v>
      </c>
      <c r="H24" s="182" t="s">
        <v>147</v>
      </c>
      <c r="I24" s="182" t="s">
        <v>148</v>
      </c>
      <c r="J24" s="182" t="s">
        <v>149</v>
      </c>
      <c r="K24" s="182" t="s">
        <v>150</v>
      </c>
      <c r="L24" s="182" t="s">
        <v>151</v>
      </c>
      <c r="M24" s="182" t="s">
        <v>152</v>
      </c>
      <c r="N24" s="182" t="s">
        <v>153</v>
      </c>
      <c r="O24" s="182" t="s">
        <v>154</v>
      </c>
      <c r="P24" s="182" t="s">
        <v>155</v>
      </c>
      <c r="Q24" s="182" t="s">
        <v>156</v>
      </c>
      <c r="R24" s="182" t="s">
        <v>157</v>
      </c>
      <c r="S24" s="182" t="s">
        <v>158</v>
      </c>
      <c r="T24" s="182" t="s">
        <v>159</v>
      </c>
      <c r="U24" s="182" t="s">
        <v>160</v>
      </c>
    </row>
    <row r="25" spans="1:21" ht="12.75">
      <c r="A25" s="89" t="s">
        <v>168</v>
      </c>
      <c r="B25" s="188"/>
      <c r="C25" s="197">
        <f>$C$30*'Program Costs'!I61</f>
        <v>1386.6666666666665</v>
      </c>
      <c r="D25" s="188">
        <f>D30*'Program Costs'!$I$61</f>
        <v>2080</v>
      </c>
      <c r="E25" s="188">
        <f>E30*'Program Costs'!$I$61</f>
        <v>4160</v>
      </c>
      <c r="F25" s="188">
        <f>F30*'Program Costs'!$I$61</f>
        <v>4160</v>
      </c>
      <c r="G25" s="188">
        <f>G30*'Program Costs'!$I$61</f>
        <v>4160</v>
      </c>
      <c r="H25" s="188">
        <f>H30*'Program Costs'!$I$61</f>
        <v>4160</v>
      </c>
      <c r="I25" s="188">
        <f>I30*'Program Costs'!$I$61</f>
        <v>4160</v>
      </c>
      <c r="J25" s="188">
        <f>J30*'Program Costs'!$I$61</f>
        <v>4160</v>
      </c>
      <c r="K25" s="188">
        <f>K30*'Program Costs'!$I$61</f>
        <v>4160</v>
      </c>
      <c r="L25" s="188">
        <f>L30*'Program Costs'!$I$61</f>
        <v>4160</v>
      </c>
      <c r="M25" s="188">
        <f>M30*'Program Costs'!$I$61</f>
        <v>4160</v>
      </c>
      <c r="N25" s="188">
        <f>N30*'Program Costs'!$I$61</f>
        <v>4160</v>
      </c>
      <c r="O25" s="188">
        <f>O30*'Program Costs'!$I$61</f>
        <v>4160</v>
      </c>
      <c r="P25" s="188">
        <f>P30*'Program Costs'!$I$61</f>
        <v>4160</v>
      </c>
      <c r="Q25" s="188">
        <f>Q30*'Program Costs'!$I$61</f>
        <v>4160</v>
      </c>
      <c r="R25" s="188">
        <f>R30*'Program Costs'!$I$61</f>
        <v>4160</v>
      </c>
      <c r="S25" s="188">
        <f>S30*'Program Costs'!$I$61</f>
        <v>4160</v>
      </c>
      <c r="T25" s="188">
        <f>T30*'Program Costs'!$I$61</f>
        <v>4160</v>
      </c>
      <c r="U25" s="198">
        <f>U30*'Program Costs'!$I$61</f>
        <v>4160</v>
      </c>
    </row>
    <row r="26" spans="1:21" ht="12.75">
      <c r="A26" s="90" t="s">
        <v>170</v>
      </c>
      <c r="B26" s="110"/>
      <c r="C26" s="199">
        <f>$C$30*'Program Costs'!I63</f>
        <v>909.9999999999999</v>
      </c>
      <c r="D26" s="110">
        <f>D30*'Program Costs'!$I$63</f>
        <v>1365</v>
      </c>
      <c r="E26" s="110">
        <f>E30*'Program Costs'!$I$63</f>
        <v>2730</v>
      </c>
      <c r="F26" s="110">
        <f>F30*'Program Costs'!$I$63</f>
        <v>2730</v>
      </c>
      <c r="G26" s="110">
        <f>G30*'Program Costs'!$I$63</f>
        <v>2730</v>
      </c>
      <c r="H26" s="110">
        <f>H30*'Program Costs'!$I$63</f>
        <v>2730</v>
      </c>
      <c r="I26" s="110">
        <f>I30*'Program Costs'!$I$63</f>
        <v>2730</v>
      </c>
      <c r="J26" s="110">
        <f>J30*'Program Costs'!$I$63</f>
        <v>2730</v>
      </c>
      <c r="K26" s="110">
        <f>K30*'Program Costs'!$I$63</f>
        <v>2730</v>
      </c>
      <c r="L26" s="110">
        <f>L30*'Program Costs'!$I$63</f>
        <v>2730</v>
      </c>
      <c r="M26" s="110">
        <f>M30*'Program Costs'!$I$63</f>
        <v>2730</v>
      </c>
      <c r="N26" s="110">
        <f>N30*'Program Costs'!$I$63</f>
        <v>2730</v>
      </c>
      <c r="O26" s="110">
        <f>O30*'Program Costs'!$I$63</f>
        <v>2730</v>
      </c>
      <c r="P26" s="110">
        <f>P30*'Program Costs'!$I$63</f>
        <v>2730</v>
      </c>
      <c r="Q26" s="110">
        <f>Q30*'Program Costs'!$I$63</f>
        <v>2730</v>
      </c>
      <c r="R26" s="110">
        <f>R30*'Program Costs'!$I$63</f>
        <v>2730</v>
      </c>
      <c r="S26" s="110">
        <f>S30*'Program Costs'!$I$63</f>
        <v>2730</v>
      </c>
      <c r="T26" s="110">
        <f>T30*'Program Costs'!$I$63</f>
        <v>2730</v>
      </c>
      <c r="U26" s="155">
        <f>U30*'Program Costs'!$I$63</f>
        <v>2730</v>
      </c>
    </row>
    <row r="27" spans="1:21" ht="12.75">
      <c r="A27" s="90" t="s">
        <v>171</v>
      </c>
      <c r="B27" s="110"/>
      <c r="C27" s="199">
        <f>$C$30*'Program Costs'!I65</f>
        <v>909.9999999999999</v>
      </c>
      <c r="D27" s="110">
        <f>D30*'Program Costs'!$I$65</f>
        <v>1365</v>
      </c>
      <c r="E27" s="110">
        <f>E30*'Program Costs'!$I$65</f>
        <v>2730</v>
      </c>
      <c r="F27" s="110">
        <f>F30*'Program Costs'!$I$65</f>
        <v>2730</v>
      </c>
      <c r="G27" s="110">
        <f>G30*'Program Costs'!$I$65</f>
        <v>2730</v>
      </c>
      <c r="H27" s="110">
        <f>H30*'Program Costs'!$I$65</f>
        <v>2730</v>
      </c>
      <c r="I27" s="110">
        <f>I30*'Program Costs'!$I$65</f>
        <v>2730</v>
      </c>
      <c r="J27" s="110">
        <f>J30*'Program Costs'!$I$65</f>
        <v>2730</v>
      </c>
      <c r="K27" s="110">
        <f>K30*'Program Costs'!$I$65</f>
        <v>2730</v>
      </c>
      <c r="L27" s="110">
        <f>L30*'Program Costs'!$I$65</f>
        <v>2730</v>
      </c>
      <c r="M27" s="110">
        <f>M30*'Program Costs'!$I$65</f>
        <v>2730</v>
      </c>
      <c r="N27" s="110">
        <f>N30*'Program Costs'!$I$65</f>
        <v>2730</v>
      </c>
      <c r="O27" s="110">
        <f>O30*'Program Costs'!$I$65</f>
        <v>2730</v>
      </c>
      <c r="P27" s="110">
        <f>P30*'Program Costs'!$I$65</f>
        <v>2730</v>
      </c>
      <c r="Q27" s="110">
        <f>Q30*'Program Costs'!$I$65</f>
        <v>2730</v>
      </c>
      <c r="R27" s="110">
        <f>R30*'Program Costs'!$I$65</f>
        <v>2730</v>
      </c>
      <c r="S27" s="110">
        <f>S30*'Program Costs'!$I$65</f>
        <v>2730</v>
      </c>
      <c r="T27" s="110">
        <f>T30*'Program Costs'!$I$65</f>
        <v>2730</v>
      </c>
      <c r="U27" s="155">
        <f>U30*'Program Costs'!$I$65</f>
        <v>2730</v>
      </c>
    </row>
    <row r="28" spans="1:21" ht="12.75">
      <c r="A28" s="90" t="s">
        <v>169</v>
      </c>
      <c r="B28" s="110"/>
      <c r="C28" s="199">
        <f>$C$30*'Program Costs'!I66</f>
        <v>1126.6666666666665</v>
      </c>
      <c r="D28" s="110">
        <f>D30*'Program Costs'!$I$66</f>
        <v>1690</v>
      </c>
      <c r="E28" s="110">
        <f>E30*'Program Costs'!$I$66</f>
        <v>3380</v>
      </c>
      <c r="F28" s="110">
        <f>F30*'Program Costs'!$I$66</f>
        <v>3380</v>
      </c>
      <c r="G28" s="110">
        <f>G30*'Program Costs'!$I$66</f>
        <v>3380</v>
      </c>
      <c r="H28" s="110">
        <f>H30*'Program Costs'!$I$66</f>
        <v>3380</v>
      </c>
      <c r="I28" s="110">
        <f>I30*'Program Costs'!$I$66</f>
        <v>3380</v>
      </c>
      <c r="J28" s="110">
        <f>J30*'Program Costs'!$I$66</f>
        <v>3380</v>
      </c>
      <c r="K28" s="110">
        <f>K30*'Program Costs'!$I$66</f>
        <v>3380</v>
      </c>
      <c r="L28" s="110">
        <f>L30*'Program Costs'!$I$66</f>
        <v>3380</v>
      </c>
      <c r="M28" s="110">
        <f>M30*'Program Costs'!$I$66</f>
        <v>3380</v>
      </c>
      <c r="N28" s="110">
        <f>N30*'Program Costs'!$I$66</f>
        <v>3380</v>
      </c>
      <c r="O28" s="110">
        <f>O30*'Program Costs'!$I$66</f>
        <v>3380</v>
      </c>
      <c r="P28" s="110">
        <f>P30*'Program Costs'!$I$66</f>
        <v>3380</v>
      </c>
      <c r="Q28" s="110">
        <f>Q30*'Program Costs'!$I$66</f>
        <v>3380</v>
      </c>
      <c r="R28" s="110">
        <f>R30*'Program Costs'!$I$66</f>
        <v>3380</v>
      </c>
      <c r="S28" s="110">
        <f>S30*'Program Costs'!$I$66</f>
        <v>3380</v>
      </c>
      <c r="T28" s="110">
        <f>T30*'Program Costs'!$I$66</f>
        <v>3380</v>
      </c>
      <c r="U28" s="155">
        <f>U30*'Program Costs'!$I$66</f>
        <v>3380</v>
      </c>
    </row>
    <row r="29" spans="1:21" ht="12.75">
      <c r="A29" s="90"/>
      <c r="B29" s="110"/>
      <c r="C29" s="110"/>
      <c r="D29" s="110"/>
      <c r="E29" s="110"/>
      <c r="F29" s="110"/>
      <c r="G29" s="110"/>
      <c r="H29" s="110"/>
      <c r="I29" s="110"/>
      <c r="J29" s="110"/>
      <c r="K29" s="110"/>
      <c r="L29" s="110"/>
      <c r="M29" s="110"/>
      <c r="N29" s="110"/>
      <c r="O29" s="110"/>
      <c r="P29" s="110"/>
      <c r="Q29" s="110"/>
      <c r="R29" s="110"/>
      <c r="S29" s="110"/>
      <c r="T29" s="110"/>
      <c r="U29" s="155"/>
    </row>
    <row r="30" spans="1:21" ht="12.75">
      <c r="A30" s="145" t="s">
        <v>232</v>
      </c>
      <c r="B30" s="146"/>
      <c r="C30" s="196">
        <f>E30/3</f>
        <v>4333.333333333333</v>
      </c>
      <c r="D30" s="196">
        <f>E30/2</f>
        <v>6500</v>
      </c>
      <c r="E30" s="196">
        <f>B9*B8</f>
        <v>13000</v>
      </c>
      <c r="F30" s="196">
        <f>E30</f>
        <v>13000</v>
      </c>
      <c r="G30" s="196">
        <f aca="true" t="shared" si="4" ref="G30:U30">F30</f>
        <v>13000</v>
      </c>
      <c r="H30" s="196">
        <f t="shared" si="4"/>
        <v>13000</v>
      </c>
      <c r="I30" s="196">
        <f t="shared" si="4"/>
        <v>13000</v>
      </c>
      <c r="J30" s="196">
        <f t="shared" si="4"/>
        <v>13000</v>
      </c>
      <c r="K30" s="196">
        <f t="shared" si="4"/>
        <v>13000</v>
      </c>
      <c r="L30" s="196">
        <f t="shared" si="4"/>
        <v>13000</v>
      </c>
      <c r="M30" s="196">
        <f t="shared" si="4"/>
        <v>13000</v>
      </c>
      <c r="N30" s="196">
        <f t="shared" si="4"/>
        <v>13000</v>
      </c>
      <c r="O30" s="196">
        <f t="shared" si="4"/>
        <v>13000</v>
      </c>
      <c r="P30" s="196">
        <f t="shared" si="4"/>
        <v>13000</v>
      </c>
      <c r="Q30" s="196">
        <f t="shared" si="4"/>
        <v>13000</v>
      </c>
      <c r="R30" s="196">
        <f t="shared" si="4"/>
        <v>13000</v>
      </c>
      <c r="S30" s="196">
        <f t="shared" si="4"/>
        <v>13000</v>
      </c>
      <c r="T30" s="196">
        <f t="shared" si="4"/>
        <v>13000</v>
      </c>
      <c r="U30" s="162">
        <f t="shared" si="4"/>
        <v>13000</v>
      </c>
    </row>
  </sheetData>
  <mergeCells count="5">
    <mergeCell ref="A23:K23"/>
    <mergeCell ref="A2:F2"/>
    <mergeCell ref="A13:K13"/>
    <mergeCell ref="A14:K14"/>
    <mergeCell ref="A22:K22"/>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5" footer="0.5"/>
  <pageSetup fitToHeight="1" fitToWidth="1" horizontalDpi="600" verticalDpi="600" orientation="landscape" scale="52" r:id="rId2"/>
  <headerFooter alignWithMargins="0">
    <oddFooter>&amp;L&amp;G&amp;R&amp;P / &amp;N</oddFooter>
  </headerFooter>
  <legacyDrawingHF r:id="rId1"/>
</worksheet>
</file>

<file path=xl/worksheets/sheet11.xml><?xml version="1.0" encoding="utf-8"?>
<worksheet xmlns="http://schemas.openxmlformats.org/spreadsheetml/2006/main" xmlns:r="http://schemas.openxmlformats.org/officeDocument/2006/relationships">
  <sheetPr codeName="Sheet9">
    <pageSetUpPr fitToPage="1"/>
  </sheetPr>
  <dimension ref="A1:AF38"/>
  <sheetViews>
    <sheetView workbookViewId="0" topLeftCell="A1">
      <selection activeCell="G2" sqref="G2"/>
    </sheetView>
  </sheetViews>
  <sheetFormatPr defaultColWidth="9.140625" defaultRowHeight="12.75"/>
  <cols>
    <col min="1" max="1" width="28.8515625" style="3" customWidth="1"/>
    <col min="2" max="6" width="9.140625" style="3" customWidth="1"/>
    <col min="7" max="7" width="8.57421875" style="3" bestFit="1" customWidth="1"/>
    <col min="8" max="16384" width="9.140625" style="3" customWidth="1"/>
  </cols>
  <sheetData>
    <row r="1" ht="20.25">
      <c r="A1" s="86" t="s">
        <v>318</v>
      </c>
    </row>
    <row r="2" spans="1:6" ht="12.75">
      <c r="A2" s="371">
        <f>IF('ERR &amp; Sensitivity Analysis'!$I$10="N","Note: Current calculations are based on user input and are not the original MCC estimates.",IF('ERR &amp; Sensitivity Analysis'!$I$11="N","Note: Current calculations are based on user input and are not the original MCC estimates.",0))</f>
        <v>0</v>
      </c>
      <c r="B2" s="371"/>
      <c r="C2" s="371"/>
      <c r="D2" s="371"/>
      <c r="E2" s="371"/>
      <c r="F2" s="371"/>
    </row>
    <row r="3" ht="18">
      <c r="A3" s="88" t="s">
        <v>329</v>
      </c>
    </row>
    <row r="5" spans="1:3" ht="12.75">
      <c r="A5" s="52" t="s">
        <v>49</v>
      </c>
      <c r="B5" s="394" t="s">
        <v>194</v>
      </c>
      <c r="C5" s="395"/>
    </row>
    <row r="6" spans="1:32" s="7" customFormat="1" ht="12.75">
      <c r="A6" s="53"/>
      <c r="B6" s="54" t="s">
        <v>195</v>
      </c>
      <c r="C6" s="27" t="s">
        <v>61</v>
      </c>
      <c r="D6" s="27" t="s">
        <v>62</v>
      </c>
      <c r="E6" s="27" t="s">
        <v>63</v>
      </c>
      <c r="F6" s="27" t="s">
        <v>144</v>
      </c>
      <c r="G6" s="27" t="s">
        <v>145</v>
      </c>
      <c r="H6" s="26" t="s">
        <v>146</v>
      </c>
      <c r="I6" s="27" t="s">
        <v>147</v>
      </c>
      <c r="J6" s="27" t="s">
        <v>148</v>
      </c>
      <c r="K6" s="27" t="s">
        <v>149</v>
      </c>
      <c r="L6" s="28" t="s">
        <v>150</v>
      </c>
      <c r="M6" s="27" t="s">
        <v>151</v>
      </c>
      <c r="N6" s="27" t="s">
        <v>152</v>
      </c>
      <c r="O6" s="27" t="s">
        <v>153</v>
      </c>
      <c r="P6" s="27" t="s">
        <v>154</v>
      </c>
      <c r="Q6" s="27" t="s">
        <v>155</v>
      </c>
      <c r="R6" s="26" t="s">
        <v>156</v>
      </c>
      <c r="S6" s="27" t="s">
        <v>157</v>
      </c>
      <c r="T6" s="27" t="s">
        <v>158</v>
      </c>
      <c r="U6" s="27" t="s">
        <v>159</v>
      </c>
      <c r="V6" s="28" t="s">
        <v>160</v>
      </c>
      <c r="W6" s="27" t="s">
        <v>196</v>
      </c>
      <c r="X6" s="27" t="s">
        <v>197</v>
      </c>
      <c r="Y6" s="27" t="s">
        <v>198</v>
      </c>
      <c r="Z6" s="27" t="s">
        <v>199</v>
      </c>
      <c r="AA6" s="27" t="s">
        <v>200</v>
      </c>
      <c r="AB6" s="26" t="s">
        <v>201</v>
      </c>
      <c r="AC6" s="27" t="s">
        <v>202</v>
      </c>
      <c r="AD6" s="27" t="s">
        <v>203</v>
      </c>
      <c r="AE6" s="27" t="s">
        <v>204</v>
      </c>
      <c r="AF6" s="28" t="s">
        <v>205</v>
      </c>
    </row>
    <row r="7" spans="1:32" ht="12.75">
      <c r="A7" s="200" t="s">
        <v>206</v>
      </c>
      <c r="B7" s="200">
        <f>-1366875-480000</f>
        <v>-1846875</v>
      </c>
      <c r="C7" s="110">
        <v>-102375</v>
      </c>
      <c r="D7" s="110">
        <v>-102375</v>
      </c>
      <c r="E7" s="110">
        <v>-21475</v>
      </c>
      <c r="F7" s="110">
        <v>38525</v>
      </c>
      <c r="G7" s="110">
        <v>38525</v>
      </c>
      <c r="H7" s="90">
        <v>158525</v>
      </c>
      <c r="I7" s="110">
        <v>238525</v>
      </c>
      <c r="J7" s="110">
        <v>438525</v>
      </c>
      <c r="K7" s="110">
        <v>438525</v>
      </c>
      <c r="L7" s="155">
        <v>438525</v>
      </c>
      <c r="M7" s="110">
        <v>438525</v>
      </c>
      <c r="N7" s="110">
        <v>438525</v>
      </c>
      <c r="O7" s="110">
        <v>438525</v>
      </c>
      <c r="P7" s="110">
        <v>438525</v>
      </c>
      <c r="Q7" s="110">
        <v>438525</v>
      </c>
      <c r="R7" s="90">
        <v>438525</v>
      </c>
      <c r="S7" s="110">
        <v>438525</v>
      </c>
      <c r="T7" s="110">
        <v>238525</v>
      </c>
      <c r="U7" s="110">
        <v>158525</v>
      </c>
      <c r="V7" s="155">
        <v>158525</v>
      </c>
      <c r="W7" s="110">
        <v>158525</v>
      </c>
      <c r="X7" s="110">
        <v>158525</v>
      </c>
      <c r="Y7" s="110">
        <v>158525</v>
      </c>
      <c r="Z7" s="110">
        <v>158525</v>
      </c>
      <c r="AA7" s="110">
        <v>158525</v>
      </c>
      <c r="AB7" s="90">
        <v>158525</v>
      </c>
      <c r="AC7" s="110">
        <v>158525</v>
      </c>
      <c r="AD7" s="110">
        <v>158525</v>
      </c>
      <c r="AE7" s="110">
        <v>158525</v>
      </c>
      <c r="AF7" s="155">
        <v>158525</v>
      </c>
    </row>
    <row r="8" spans="1:32" ht="12.75">
      <c r="A8" s="200" t="s">
        <v>207</v>
      </c>
      <c r="B8" s="200">
        <v>37500</v>
      </c>
      <c r="C8" s="110">
        <v>0</v>
      </c>
      <c r="D8" s="110">
        <v>0</v>
      </c>
      <c r="E8" s="110">
        <v>51600</v>
      </c>
      <c r="F8" s="110">
        <v>51600</v>
      </c>
      <c r="G8" s="110">
        <v>51600</v>
      </c>
      <c r="H8" s="90">
        <v>51600</v>
      </c>
      <c r="I8" s="110">
        <v>51600</v>
      </c>
      <c r="J8" s="110">
        <v>51600</v>
      </c>
      <c r="K8" s="110">
        <v>51600</v>
      </c>
      <c r="L8" s="155">
        <v>51600</v>
      </c>
      <c r="M8" s="110">
        <v>51600</v>
      </c>
      <c r="N8" s="110">
        <v>51600</v>
      </c>
      <c r="O8" s="110">
        <v>51600</v>
      </c>
      <c r="P8" s="110">
        <v>51600</v>
      </c>
      <c r="Q8" s="110">
        <v>51600</v>
      </c>
      <c r="R8" s="90">
        <v>51600</v>
      </c>
      <c r="S8" s="110">
        <v>51600</v>
      </c>
      <c r="T8" s="110">
        <v>51600</v>
      </c>
      <c r="U8" s="110">
        <v>51600</v>
      </c>
      <c r="V8" s="155">
        <v>51600</v>
      </c>
      <c r="W8" s="110">
        <v>51600</v>
      </c>
      <c r="X8" s="110">
        <v>51600</v>
      </c>
      <c r="Y8" s="110">
        <v>51600</v>
      </c>
      <c r="Z8" s="110">
        <v>51600</v>
      </c>
      <c r="AA8" s="110">
        <v>51600</v>
      </c>
      <c r="AB8" s="90">
        <v>51600</v>
      </c>
      <c r="AC8" s="110">
        <v>51600</v>
      </c>
      <c r="AD8" s="110">
        <v>51600</v>
      </c>
      <c r="AE8" s="110">
        <v>51600</v>
      </c>
      <c r="AF8" s="155">
        <v>51600</v>
      </c>
    </row>
    <row r="9" spans="1:32" ht="12.75">
      <c r="A9" s="200" t="s">
        <v>208</v>
      </c>
      <c r="B9" s="200">
        <f>B7+B8</f>
        <v>-1809375</v>
      </c>
      <c r="C9" s="110">
        <f aca="true" t="shared" si="0" ref="C9:AF9">C7+C8</f>
        <v>-102375</v>
      </c>
      <c r="D9" s="110">
        <f t="shared" si="0"/>
        <v>-102375</v>
      </c>
      <c r="E9" s="110">
        <f t="shared" si="0"/>
        <v>30125</v>
      </c>
      <c r="F9" s="110">
        <f t="shared" si="0"/>
        <v>90125</v>
      </c>
      <c r="G9" s="110">
        <f t="shared" si="0"/>
        <v>90125</v>
      </c>
      <c r="H9" s="90">
        <f t="shared" si="0"/>
        <v>210125</v>
      </c>
      <c r="I9" s="110">
        <f t="shared" si="0"/>
        <v>290125</v>
      </c>
      <c r="J9" s="110">
        <f t="shared" si="0"/>
        <v>490125</v>
      </c>
      <c r="K9" s="110">
        <f t="shared" si="0"/>
        <v>490125</v>
      </c>
      <c r="L9" s="155">
        <f t="shared" si="0"/>
        <v>490125</v>
      </c>
      <c r="M9" s="110">
        <f t="shared" si="0"/>
        <v>490125</v>
      </c>
      <c r="N9" s="110">
        <f t="shared" si="0"/>
        <v>490125</v>
      </c>
      <c r="O9" s="110">
        <f t="shared" si="0"/>
        <v>490125</v>
      </c>
      <c r="P9" s="110">
        <f t="shared" si="0"/>
        <v>490125</v>
      </c>
      <c r="Q9" s="110">
        <f t="shared" si="0"/>
        <v>490125</v>
      </c>
      <c r="R9" s="90">
        <f t="shared" si="0"/>
        <v>490125</v>
      </c>
      <c r="S9" s="110">
        <f t="shared" si="0"/>
        <v>490125</v>
      </c>
      <c r="T9" s="110">
        <f t="shared" si="0"/>
        <v>290125</v>
      </c>
      <c r="U9" s="110">
        <f t="shared" si="0"/>
        <v>210125</v>
      </c>
      <c r="V9" s="155">
        <f t="shared" si="0"/>
        <v>210125</v>
      </c>
      <c r="W9" s="110">
        <f t="shared" si="0"/>
        <v>210125</v>
      </c>
      <c r="X9" s="110">
        <f t="shared" si="0"/>
        <v>210125</v>
      </c>
      <c r="Y9" s="110">
        <f t="shared" si="0"/>
        <v>210125</v>
      </c>
      <c r="Z9" s="110">
        <f t="shared" si="0"/>
        <v>210125</v>
      </c>
      <c r="AA9" s="110">
        <f t="shared" si="0"/>
        <v>210125</v>
      </c>
      <c r="AB9" s="90">
        <f t="shared" si="0"/>
        <v>210125</v>
      </c>
      <c r="AC9" s="110">
        <f t="shared" si="0"/>
        <v>210125</v>
      </c>
      <c r="AD9" s="110">
        <f t="shared" si="0"/>
        <v>210125</v>
      </c>
      <c r="AE9" s="110">
        <f t="shared" si="0"/>
        <v>210125</v>
      </c>
      <c r="AF9" s="155">
        <f t="shared" si="0"/>
        <v>210125</v>
      </c>
    </row>
    <row r="10" spans="1:32" ht="12.75">
      <c r="A10" s="200"/>
      <c r="B10" s="200"/>
      <c r="C10" s="110"/>
      <c r="D10" s="110"/>
      <c r="E10" s="110"/>
      <c r="F10" s="110"/>
      <c r="G10" s="159"/>
      <c r="H10" s="90"/>
      <c r="I10" s="110"/>
      <c r="J10" s="110"/>
      <c r="K10" s="110"/>
      <c r="L10" s="201">
        <f>IRR(B9:L9)</f>
        <v>0.010226382609876357</v>
      </c>
      <c r="M10" s="110"/>
      <c r="N10" s="110"/>
      <c r="O10" s="110"/>
      <c r="P10" s="110"/>
      <c r="Q10" s="159">
        <f>IRR(B9:Q9)</f>
        <v>0.08566526817546773</v>
      </c>
      <c r="R10" s="90"/>
      <c r="S10" s="110"/>
      <c r="T10" s="110"/>
      <c r="U10" s="110"/>
      <c r="V10" s="201">
        <f>IRR(B9:V9)</f>
        <v>0.10421755766354976</v>
      </c>
      <c r="W10" s="110"/>
      <c r="X10" s="110"/>
      <c r="Y10" s="110"/>
      <c r="Z10" s="110"/>
      <c r="AA10" s="159">
        <f>IRR(B9:AA9)</f>
        <v>0.10941360125783822</v>
      </c>
      <c r="AB10" s="90"/>
      <c r="AC10" s="110"/>
      <c r="AD10" s="110"/>
      <c r="AE10" s="110"/>
      <c r="AF10" s="201">
        <f>IRR(B9:AF9)</f>
        <v>0.11214583911678228</v>
      </c>
    </row>
    <row r="11" spans="1:32" ht="12.75">
      <c r="A11" s="200"/>
      <c r="B11" s="200"/>
      <c r="C11" s="110"/>
      <c r="D11" s="124"/>
      <c r="E11" s="124"/>
      <c r="F11" s="124"/>
      <c r="G11" s="48"/>
      <c r="H11" s="202"/>
      <c r="I11" s="48"/>
      <c r="J11" s="48"/>
      <c r="K11" s="48"/>
      <c r="L11" s="203"/>
      <c r="M11" s="48"/>
      <c r="N11" s="48"/>
      <c r="O11" s="48"/>
      <c r="P11" s="48"/>
      <c r="Q11" s="48"/>
      <c r="R11" s="49"/>
      <c r="S11" s="47"/>
      <c r="T11" s="47"/>
      <c r="U11" s="47"/>
      <c r="V11" s="123"/>
      <c r="W11" s="47"/>
      <c r="X11" s="110"/>
      <c r="Y11" s="110"/>
      <c r="Z11" s="110"/>
      <c r="AA11" s="110"/>
      <c r="AB11" s="90"/>
      <c r="AC11" s="110"/>
      <c r="AD11" s="110"/>
      <c r="AE11" s="110"/>
      <c r="AF11" s="155"/>
    </row>
    <row r="12" spans="1:32" ht="12.75">
      <c r="A12" s="200">
        <v>3</v>
      </c>
      <c r="B12" s="200"/>
      <c r="C12" s="110"/>
      <c r="D12" s="110">
        <f>B9*$A$12</f>
        <v>-5428125</v>
      </c>
      <c r="E12" s="110">
        <f>C9*$A$12</f>
        <v>-307125</v>
      </c>
      <c r="F12" s="110">
        <f>D9*$A$12</f>
        <v>-307125</v>
      </c>
      <c r="G12" s="110">
        <f>E9*$A$12</f>
        <v>90375</v>
      </c>
      <c r="H12" s="90">
        <f aca="true" t="shared" si="1" ref="H12:AF12">F9*$A$12</f>
        <v>270375</v>
      </c>
      <c r="I12" s="110">
        <f t="shared" si="1"/>
        <v>270375</v>
      </c>
      <c r="J12" s="110">
        <f t="shared" si="1"/>
        <v>630375</v>
      </c>
      <c r="K12" s="110">
        <f t="shared" si="1"/>
        <v>870375</v>
      </c>
      <c r="L12" s="155">
        <f t="shared" si="1"/>
        <v>1470375</v>
      </c>
      <c r="M12" s="110">
        <f t="shared" si="1"/>
        <v>1470375</v>
      </c>
      <c r="N12" s="110">
        <f t="shared" si="1"/>
        <v>1470375</v>
      </c>
      <c r="O12" s="110">
        <f t="shared" si="1"/>
        <v>1470375</v>
      </c>
      <c r="P12" s="110">
        <f t="shared" si="1"/>
        <v>1470375</v>
      </c>
      <c r="Q12" s="110">
        <f t="shared" si="1"/>
        <v>1470375</v>
      </c>
      <c r="R12" s="90">
        <f t="shared" si="1"/>
        <v>1470375</v>
      </c>
      <c r="S12" s="110">
        <f t="shared" si="1"/>
        <v>1470375</v>
      </c>
      <c r="T12" s="110">
        <f t="shared" si="1"/>
        <v>1470375</v>
      </c>
      <c r="U12" s="110">
        <f t="shared" si="1"/>
        <v>1470375</v>
      </c>
      <c r="V12" s="155">
        <f t="shared" si="1"/>
        <v>870375</v>
      </c>
      <c r="W12" s="110">
        <f t="shared" si="1"/>
        <v>630375</v>
      </c>
      <c r="X12" s="110">
        <f t="shared" si="1"/>
        <v>630375</v>
      </c>
      <c r="Y12" s="110">
        <f t="shared" si="1"/>
        <v>630375</v>
      </c>
      <c r="Z12" s="110">
        <f t="shared" si="1"/>
        <v>630375</v>
      </c>
      <c r="AA12" s="110">
        <f t="shared" si="1"/>
        <v>630375</v>
      </c>
      <c r="AB12" s="90">
        <f t="shared" si="1"/>
        <v>630375</v>
      </c>
      <c r="AC12" s="110">
        <f t="shared" si="1"/>
        <v>630375</v>
      </c>
      <c r="AD12" s="110">
        <f t="shared" si="1"/>
        <v>630375</v>
      </c>
      <c r="AE12" s="110">
        <f t="shared" si="1"/>
        <v>630375</v>
      </c>
      <c r="AF12" s="155">
        <f t="shared" si="1"/>
        <v>630375</v>
      </c>
    </row>
    <row r="13" spans="1:32" ht="12.75">
      <c r="A13" s="200">
        <v>2</v>
      </c>
      <c r="B13" s="200"/>
      <c r="C13" s="110"/>
      <c r="D13" s="110"/>
      <c r="E13" s="110">
        <f>B9*$A$13</f>
        <v>-3618750</v>
      </c>
      <c r="F13" s="110">
        <f aca="true" t="shared" si="2" ref="F13:AF13">C9*$A$13</f>
        <v>-204750</v>
      </c>
      <c r="G13" s="110">
        <f t="shared" si="2"/>
        <v>-204750</v>
      </c>
      <c r="H13" s="90">
        <f t="shared" si="2"/>
        <v>60250</v>
      </c>
      <c r="I13" s="110">
        <f t="shared" si="2"/>
        <v>180250</v>
      </c>
      <c r="J13" s="110">
        <f t="shared" si="2"/>
        <v>180250</v>
      </c>
      <c r="K13" s="110">
        <f t="shared" si="2"/>
        <v>420250</v>
      </c>
      <c r="L13" s="155">
        <f t="shared" si="2"/>
        <v>580250</v>
      </c>
      <c r="M13" s="110">
        <f t="shared" si="2"/>
        <v>980250</v>
      </c>
      <c r="N13" s="110">
        <f t="shared" si="2"/>
        <v>980250</v>
      </c>
      <c r="O13" s="110">
        <f t="shared" si="2"/>
        <v>980250</v>
      </c>
      <c r="P13" s="110">
        <f t="shared" si="2"/>
        <v>980250</v>
      </c>
      <c r="Q13" s="110">
        <f t="shared" si="2"/>
        <v>980250</v>
      </c>
      <c r="R13" s="90">
        <f t="shared" si="2"/>
        <v>980250</v>
      </c>
      <c r="S13" s="110">
        <f t="shared" si="2"/>
        <v>980250</v>
      </c>
      <c r="T13" s="110">
        <f t="shared" si="2"/>
        <v>980250</v>
      </c>
      <c r="U13" s="110">
        <f t="shared" si="2"/>
        <v>980250</v>
      </c>
      <c r="V13" s="155">
        <f t="shared" si="2"/>
        <v>980250</v>
      </c>
      <c r="W13" s="110">
        <f t="shared" si="2"/>
        <v>580250</v>
      </c>
      <c r="X13" s="110">
        <f t="shared" si="2"/>
        <v>420250</v>
      </c>
      <c r="Y13" s="110">
        <f t="shared" si="2"/>
        <v>420250</v>
      </c>
      <c r="Z13" s="110">
        <f t="shared" si="2"/>
        <v>420250</v>
      </c>
      <c r="AA13" s="110">
        <f t="shared" si="2"/>
        <v>420250</v>
      </c>
      <c r="AB13" s="90">
        <f t="shared" si="2"/>
        <v>420250</v>
      </c>
      <c r="AC13" s="110">
        <f t="shared" si="2"/>
        <v>420250</v>
      </c>
      <c r="AD13" s="110">
        <f t="shared" si="2"/>
        <v>420250</v>
      </c>
      <c r="AE13" s="110">
        <f t="shared" si="2"/>
        <v>420250</v>
      </c>
      <c r="AF13" s="155">
        <f t="shared" si="2"/>
        <v>420250</v>
      </c>
    </row>
    <row r="14" spans="1:32" ht="12.75">
      <c r="A14" s="200">
        <v>3</v>
      </c>
      <c r="B14" s="200"/>
      <c r="C14" s="110"/>
      <c r="D14" s="110"/>
      <c r="E14" s="110"/>
      <c r="F14" s="110">
        <f>B9*$A$14</f>
        <v>-5428125</v>
      </c>
      <c r="G14" s="110">
        <f aca="true" t="shared" si="3" ref="G14:AF14">C9*$A$14</f>
        <v>-307125</v>
      </c>
      <c r="H14" s="90">
        <f t="shared" si="3"/>
        <v>-307125</v>
      </c>
      <c r="I14" s="110">
        <f t="shared" si="3"/>
        <v>90375</v>
      </c>
      <c r="J14" s="110">
        <f t="shared" si="3"/>
        <v>270375</v>
      </c>
      <c r="K14" s="110">
        <f t="shared" si="3"/>
        <v>270375</v>
      </c>
      <c r="L14" s="155">
        <f t="shared" si="3"/>
        <v>630375</v>
      </c>
      <c r="M14" s="110">
        <f t="shared" si="3"/>
        <v>870375</v>
      </c>
      <c r="N14" s="110">
        <f t="shared" si="3"/>
        <v>1470375</v>
      </c>
      <c r="O14" s="110">
        <f t="shared" si="3"/>
        <v>1470375</v>
      </c>
      <c r="P14" s="110">
        <f t="shared" si="3"/>
        <v>1470375</v>
      </c>
      <c r="Q14" s="110">
        <f t="shared" si="3"/>
        <v>1470375</v>
      </c>
      <c r="R14" s="90">
        <f t="shared" si="3"/>
        <v>1470375</v>
      </c>
      <c r="S14" s="110">
        <f t="shared" si="3"/>
        <v>1470375</v>
      </c>
      <c r="T14" s="110">
        <f t="shared" si="3"/>
        <v>1470375</v>
      </c>
      <c r="U14" s="110">
        <f t="shared" si="3"/>
        <v>1470375</v>
      </c>
      <c r="V14" s="155">
        <f t="shared" si="3"/>
        <v>1470375</v>
      </c>
      <c r="W14" s="110">
        <f t="shared" si="3"/>
        <v>1470375</v>
      </c>
      <c r="X14" s="110">
        <f t="shared" si="3"/>
        <v>870375</v>
      </c>
      <c r="Y14" s="110">
        <f t="shared" si="3"/>
        <v>630375</v>
      </c>
      <c r="Z14" s="110">
        <f t="shared" si="3"/>
        <v>630375</v>
      </c>
      <c r="AA14" s="110">
        <f t="shared" si="3"/>
        <v>630375</v>
      </c>
      <c r="AB14" s="90">
        <f t="shared" si="3"/>
        <v>630375</v>
      </c>
      <c r="AC14" s="110">
        <f t="shared" si="3"/>
        <v>630375</v>
      </c>
      <c r="AD14" s="110">
        <f t="shared" si="3"/>
        <v>630375</v>
      </c>
      <c r="AE14" s="110">
        <f t="shared" si="3"/>
        <v>630375</v>
      </c>
      <c r="AF14" s="155">
        <f t="shared" si="3"/>
        <v>630375</v>
      </c>
    </row>
    <row r="15" spans="1:32" ht="12.75">
      <c r="A15" s="200">
        <v>2</v>
      </c>
      <c r="B15" s="200"/>
      <c r="C15" s="110"/>
      <c r="D15" s="110"/>
      <c r="E15" s="110"/>
      <c r="F15" s="110"/>
      <c r="G15" s="110">
        <f>B9*$A$15</f>
        <v>-3618750</v>
      </c>
      <c r="H15" s="90">
        <f aca="true" t="shared" si="4" ref="H15:AF15">C9*$A$15</f>
        <v>-204750</v>
      </c>
      <c r="I15" s="110">
        <f t="shared" si="4"/>
        <v>-204750</v>
      </c>
      <c r="J15" s="110">
        <f t="shared" si="4"/>
        <v>60250</v>
      </c>
      <c r="K15" s="110">
        <f t="shared" si="4"/>
        <v>180250</v>
      </c>
      <c r="L15" s="155">
        <f t="shared" si="4"/>
        <v>180250</v>
      </c>
      <c r="M15" s="110">
        <f t="shared" si="4"/>
        <v>420250</v>
      </c>
      <c r="N15" s="110">
        <f t="shared" si="4"/>
        <v>580250</v>
      </c>
      <c r="O15" s="110">
        <f t="shared" si="4"/>
        <v>980250</v>
      </c>
      <c r="P15" s="110">
        <f t="shared" si="4"/>
        <v>980250</v>
      </c>
      <c r="Q15" s="110">
        <f t="shared" si="4"/>
        <v>980250</v>
      </c>
      <c r="R15" s="90">
        <f t="shared" si="4"/>
        <v>980250</v>
      </c>
      <c r="S15" s="110">
        <f t="shared" si="4"/>
        <v>980250</v>
      </c>
      <c r="T15" s="110">
        <f t="shared" si="4"/>
        <v>980250</v>
      </c>
      <c r="U15" s="110">
        <f t="shared" si="4"/>
        <v>980250</v>
      </c>
      <c r="V15" s="155">
        <f t="shared" si="4"/>
        <v>980250</v>
      </c>
      <c r="W15" s="110">
        <f t="shared" si="4"/>
        <v>980250</v>
      </c>
      <c r="X15" s="110">
        <f t="shared" si="4"/>
        <v>980250</v>
      </c>
      <c r="Y15" s="110">
        <f t="shared" si="4"/>
        <v>580250</v>
      </c>
      <c r="Z15" s="110">
        <f t="shared" si="4"/>
        <v>420250</v>
      </c>
      <c r="AA15" s="110">
        <f t="shared" si="4"/>
        <v>420250</v>
      </c>
      <c r="AB15" s="90">
        <f t="shared" si="4"/>
        <v>420250</v>
      </c>
      <c r="AC15" s="110">
        <f t="shared" si="4"/>
        <v>420250</v>
      </c>
      <c r="AD15" s="110">
        <f t="shared" si="4"/>
        <v>420250</v>
      </c>
      <c r="AE15" s="110">
        <f t="shared" si="4"/>
        <v>420250</v>
      </c>
      <c r="AF15" s="155">
        <f t="shared" si="4"/>
        <v>420250</v>
      </c>
    </row>
    <row r="16" spans="1:32" ht="12.75">
      <c r="A16" s="200"/>
      <c r="B16" s="200"/>
      <c r="C16" s="110"/>
      <c r="D16" s="110"/>
      <c r="E16" s="110"/>
      <c r="F16" s="110"/>
      <c r="G16" s="110"/>
      <c r="H16" s="90"/>
      <c r="I16" s="110"/>
      <c r="J16" s="110"/>
      <c r="K16" s="110"/>
      <c r="L16" s="155"/>
      <c r="M16" s="110"/>
      <c r="N16" s="110"/>
      <c r="O16" s="110"/>
      <c r="P16" s="110"/>
      <c r="Q16" s="110"/>
      <c r="R16" s="90"/>
      <c r="S16" s="110"/>
      <c r="T16" s="110"/>
      <c r="U16" s="110"/>
      <c r="V16" s="155"/>
      <c r="W16" s="110"/>
      <c r="X16" s="110"/>
      <c r="Y16" s="110"/>
      <c r="Z16" s="110"/>
      <c r="AA16" s="110"/>
      <c r="AB16" s="90"/>
      <c r="AC16" s="110"/>
      <c r="AD16" s="110"/>
      <c r="AE16" s="110"/>
      <c r="AF16" s="155"/>
    </row>
    <row r="17" spans="1:32" ht="12.75">
      <c r="A17" s="200" t="s">
        <v>209</v>
      </c>
      <c r="B17" s="200" t="s">
        <v>210</v>
      </c>
      <c r="C17" s="110"/>
      <c r="D17" s="110">
        <f>SUM(D12:D15)</f>
        <v>-5428125</v>
      </c>
      <c r="E17" s="110">
        <f aca="true" t="shared" si="5" ref="E17:AF17">SUM(E12:E15)</f>
        <v>-3925875</v>
      </c>
      <c r="F17" s="110">
        <f t="shared" si="5"/>
        <v>-5940000</v>
      </c>
      <c r="G17" s="110">
        <f t="shared" si="5"/>
        <v>-4040250</v>
      </c>
      <c r="H17" s="90">
        <f t="shared" si="5"/>
        <v>-181250</v>
      </c>
      <c r="I17" s="110">
        <f t="shared" si="5"/>
        <v>336250</v>
      </c>
      <c r="J17" s="110">
        <f t="shared" si="5"/>
        <v>1141250</v>
      </c>
      <c r="K17" s="110">
        <f t="shared" si="5"/>
        <v>1741250</v>
      </c>
      <c r="L17" s="155">
        <f t="shared" si="5"/>
        <v>2861250</v>
      </c>
      <c r="M17" s="110">
        <f t="shared" si="5"/>
        <v>3741250</v>
      </c>
      <c r="N17" s="110">
        <f t="shared" si="5"/>
        <v>4501250</v>
      </c>
      <c r="O17" s="110">
        <f t="shared" si="5"/>
        <v>4901250</v>
      </c>
      <c r="P17" s="110">
        <f t="shared" si="5"/>
        <v>4901250</v>
      </c>
      <c r="Q17" s="110">
        <f t="shared" si="5"/>
        <v>4901250</v>
      </c>
      <c r="R17" s="90">
        <f t="shared" si="5"/>
        <v>4901250</v>
      </c>
      <c r="S17" s="110">
        <f t="shared" si="5"/>
        <v>4901250</v>
      </c>
      <c r="T17" s="110">
        <f t="shared" si="5"/>
        <v>4901250</v>
      </c>
      <c r="U17" s="110">
        <f t="shared" si="5"/>
        <v>4901250</v>
      </c>
      <c r="V17" s="155">
        <f t="shared" si="5"/>
        <v>4301250</v>
      </c>
      <c r="W17" s="110">
        <f t="shared" si="5"/>
        <v>3661250</v>
      </c>
      <c r="X17" s="110">
        <f t="shared" si="5"/>
        <v>2901250</v>
      </c>
      <c r="Y17" s="110">
        <f t="shared" si="5"/>
        <v>2261250</v>
      </c>
      <c r="Z17" s="110">
        <f t="shared" si="5"/>
        <v>2101250</v>
      </c>
      <c r="AA17" s="110">
        <f t="shared" si="5"/>
        <v>2101250</v>
      </c>
      <c r="AB17" s="90">
        <f t="shared" si="5"/>
        <v>2101250</v>
      </c>
      <c r="AC17" s="110">
        <f t="shared" si="5"/>
        <v>2101250</v>
      </c>
      <c r="AD17" s="110">
        <f t="shared" si="5"/>
        <v>2101250</v>
      </c>
      <c r="AE17" s="110">
        <f t="shared" si="5"/>
        <v>2101250</v>
      </c>
      <c r="AF17" s="155">
        <f t="shared" si="5"/>
        <v>2101250</v>
      </c>
    </row>
    <row r="18" spans="1:32" ht="12.75">
      <c r="A18" s="200"/>
      <c r="B18" s="200" t="s">
        <v>131</v>
      </c>
      <c r="C18" s="110"/>
      <c r="D18" s="199">
        <f>D17/'ERR &amp; Sensitivity Analysis'!$D$13</f>
        <v>-65399.096385542165</v>
      </c>
      <c r="E18" s="199">
        <f>E17/'ERR &amp; Sensitivity Analysis'!$D$13</f>
        <v>-47299.698795180724</v>
      </c>
      <c r="F18" s="199">
        <f>F17/'ERR &amp; Sensitivity Analysis'!$D$13</f>
        <v>-71566.26506024097</v>
      </c>
      <c r="G18" s="199">
        <f>G17/'ERR &amp; Sensitivity Analysis'!$D$13</f>
        <v>-48677.7108433735</v>
      </c>
      <c r="H18" s="204">
        <f>H17/'ERR &amp; Sensitivity Analysis'!$D$13</f>
        <v>-2183.734939759036</v>
      </c>
      <c r="I18" s="199">
        <f>I17/'ERR &amp; Sensitivity Analysis'!$D$13</f>
        <v>4051.2048192771085</v>
      </c>
      <c r="J18" s="199">
        <f>J17/'ERR &amp; Sensitivity Analysis'!$D$13</f>
        <v>13750</v>
      </c>
      <c r="K18" s="199">
        <f>K17/'ERR &amp; Sensitivity Analysis'!$D$13</f>
        <v>20978.9156626506</v>
      </c>
      <c r="L18" s="205">
        <f>L17/'ERR &amp; Sensitivity Analysis'!$D$13</f>
        <v>34472.89156626506</v>
      </c>
      <c r="M18" s="199">
        <f>M17/'ERR &amp; Sensitivity Analysis'!$D$13</f>
        <v>45075.301204819276</v>
      </c>
      <c r="N18" s="199">
        <f>N17/'ERR &amp; Sensitivity Analysis'!$D$13</f>
        <v>54231.927710843374</v>
      </c>
      <c r="O18" s="199">
        <f>O17/'ERR &amp; Sensitivity Analysis'!$D$13</f>
        <v>59051.20481927711</v>
      </c>
      <c r="P18" s="199">
        <f>P17/'ERR &amp; Sensitivity Analysis'!$D$13</f>
        <v>59051.20481927711</v>
      </c>
      <c r="Q18" s="199">
        <f>Q17/'ERR &amp; Sensitivity Analysis'!$D$13</f>
        <v>59051.20481927711</v>
      </c>
      <c r="R18" s="204">
        <f>R17/'ERR &amp; Sensitivity Analysis'!$D$13</f>
        <v>59051.20481927711</v>
      </c>
      <c r="S18" s="199">
        <f>S17/'ERR &amp; Sensitivity Analysis'!$D$13</f>
        <v>59051.20481927711</v>
      </c>
      <c r="T18" s="199">
        <f>T17/'ERR &amp; Sensitivity Analysis'!$D$13</f>
        <v>59051.20481927711</v>
      </c>
      <c r="U18" s="199">
        <f>U17/'ERR &amp; Sensitivity Analysis'!$D$13</f>
        <v>59051.20481927711</v>
      </c>
      <c r="V18" s="205">
        <f>V17/'ERR &amp; Sensitivity Analysis'!$D$13</f>
        <v>51822.2891566265</v>
      </c>
      <c r="W18" s="199">
        <f>W17/'ERR &amp; Sensitivity Analysis'!$D$13</f>
        <v>44111.44578313253</v>
      </c>
      <c r="X18" s="199">
        <f>X17/'ERR &amp; Sensitivity Analysis'!$D$13</f>
        <v>34954.819277108436</v>
      </c>
      <c r="Y18" s="199">
        <f>Y17/'ERR &amp; Sensitivity Analysis'!$D$13</f>
        <v>27243.975903614457</v>
      </c>
      <c r="Z18" s="199">
        <f>Z17/'ERR &amp; Sensitivity Analysis'!$D$13</f>
        <v>25316.265060240963</v>
      </c>
      <c r="AA18" s="199">
        <f>AA17/'ERR &amp; Sensitivity Analysis'!$D$13</f>
        <v>25316.265060240963</v>
      </c>
      <c r="AB18" s="204">
        <f>AB17/'ERR &amp; Sensitivity Analysis'!$D$13</f>
        <v>25316.265060240963</v>
      </c>
      <c r="AC18" s="199">
        <f>AC17/'ERR &amp; Sensitivity Analysis'!$D$13</f>
        <v>25316.265060240963</v>
      </c>
      <c r="AD18" s="199">
        <f>AD17/'ERR &amp; Sensitivity Analysis'!$D$13</f>
        <v>25316.265060240963</v>
      </c>
      <c r="AE18" s="199">
        <f>AE17/'ERR &amp; Sensitivity Analysis'!$D$13</f>
        <v>25316.265060240963</v>
      </c>
      <c r="AF18" s="205">
        <f>AF17/'ERR &amp; Sensitivity Analysis'!$D$13</f>
        <v>25316.265060240963</v>
      </c>
    </row>
    <row r="19" spans="1:32" ht="12.75">
      <c r="A19" s="206"/>
      <c r="B19" s="206"/>
      <c r="C19" s="146"/>
      <c r="D19" s="146"/>
      <c r="E19" s="146"/>
      <c r="F19" s="146"/>
      <c r="G19" s="207"/>
      <c r="H19" s="145"/>
      <c r="I19" s="146"/>
      <c r="J19" s="146"/>
      <c r="K19" s="146"/>
      <c r="L19" s="147"/>
      <c r="M19" s="146"/>
      <c r="N19" s="146"/>
      <c r="O19" s="146"/>
      <c r="P19" s="146"/>
      <c r="Q19" s="207">
        <f>IRR(B18:Q18)</f>
        <v>0.04639001789244947</v>
      </c>
      <c r="R19" s="145"/>
      <c r="S19" s="146"/>
      <c r="T19" s="146"/>
      <c r="U19" s="146"/>
      <c r="V19" s="147">
        <f>IRR(B18:V18)</f>
        <v>0.0956672470374785</v>
      </c>
      <c r="W19" s="146"/>
      <c r="X19" s="146"/>
      <c r="Y19" s="146"/>
      <c r="Z19" s="146"/>
      <c r="AA19" s="207">
        <f>IRR(B18:AA18)</f>
        <v>0.10633620182306086</v>
      </c>
      <c r="AB19" s="145"/>
      <c r="AC19" s="146"/>
      <c r="AD19" s="146"/>
      <c r="AE19" s="146"/>
      <c r="AF19" s="147">
        <f>IRR(B18:AF18)</f>
        <v>0.11051902668559668</v>
      </c>
    </row>
    <row r="20" spans="7:32" ht="12.75">
      <c r="G20" s="180"/>
      <c r="L20" s="180"/>
      <c r="Q20" s="180"/>
      <c r="V20" s="180"/>
      <c r="AA20" s="180"/>
      <c r="AF20" s="180"/>
    </row>
    <row r="22" spans="1:7" ht="12.75">
      <c r="A22" s="33" t="s">
        <v>211</v>
      </c>
      <c r="B22" s="104">
        <v>15</v>
      </c>
      <c r="C22" s="396" t="s">
        <v>212</v>
      </c>
      <c r="D22" s="397"/>
      <c r="E22" s="397"/>
      <c r="F22" s="397"/>
      <c r="G22" s="397"/>
    </row>
    <row r="23" spans="1:32" ht="12.75">
      <c r="A23" s="208" t="s">
        <v>213</v>
      </c>
      <c r="B23" s="209"/>
      <c r="C23" s="188">
        <f>$AF$7*0</f>
        <v>0</v>
      </c>
      <c r="D23" s="188">
        <f>140000*A24</f>
        <v>560000</v>
      </c>
      <c r="E23" s="188">
        <f>140000*8</f>
        <v>1120000</v>
      </c>
      <c r="F23" s="188">
        <f>140000*12</f>
        <v>1680000</v>
      </c>
      <c r="G23" s="188">
        <f>140000*15</f>
        <v>2100000</v>
      </c>
      <c r="H23" s="89">
        <f aca="true" t="shared" si="6" ref="H23:AF23">140000*15</f>
        <v>2100000</v>
      </c>
      <c r="I23" s="188">
        <f t="shared" si="6"/>
        <v>2100000</v>
      </c>
      <c r="J23" s="188">
        <f t="shared" si="6"/>
        <v>2100000</v>
      </c>
      <c r="K23" s="188">
        <f t="shared" si="6"/>
        <v>2100000</v>
      </c>
      <c r="L23" s="198">
        <f t="shared" si="6"/>
        <v>2100000</v>
      </c>
      <c r="M23" s="188">
        <f t="shared" si="6"/>
        <v>2100000</v>
      </c>
      <c r="N23" s="188">
        <f t="shared" si="6"/>
        <v>2100000</v>
      </c>
      <c r="O23" s="188">
        <f t="shared" si="6"/>
        <v>2100000</v>
      </c>
      <c r="P23" s="188">
        <f t="shared" si="6"/>
        <v>2100000</v>
      </c>
      <c r="Q23" s="188">
        <f t="shared" si="6"/>
        <v>2100000</v>
      </c>
      <c r="R23" s="89">
        <f t="shared" si="6"/>
        <v>2100000</v>
      </c>
      <c r="S23" s="188">
        <f t="shared" si="6"/>
        <v>2100000</v>
      </c>
      <c r="T23" s="188">
        <f t="shared" si="6"/>
        <v>2100000</v>
      </c>
      <c r="U23" s="188">
        <f t="shared" si="6"/>
        <v>2100000</v>
      </c>
      <c r="V23" s="198">
        <f t="shared" si="6"/>
        <v>2100000</v>
      </c>
      <c r="W23" s="188">
        <f t="shared" si="6"/>
        <v>2100000</v>
      </c>
      <c r="X23" s="188">
        <f t="shared" si="6"/>
        <v>2100000</v>
      </c>
      <c r="Y23" s="188">
        <f t="shared" si="6"/>
        <v>2100000</v>
      </c>
      <c r="Z23" s="188">
        <f t="shared" si="6"/>
        <v>2100000</v>
      </c>
      <c r="AA23" s="188">
        <f t="shared" si="6"/>
        <v>2100000</v>
      </c>
      <c r="AB23" s="89">
        <f t="shared" si="6"/>
        <v>2100000</v>
      </c>
      <c r="AC23" s="188">
        <f t="shared" si="6"/>
        <v>2100000</v>
      </c>
      <c r="AD23" s="188">
        <f t="shared" si="6"/>
        <v>2100000</v>
      </c>
      <c r="AE23" s="188">
        <f t="shared" si="6"/>
        <v>2100000</v>
      </c>
      <c r="AF23" s="198">
        <f t="shared" si="6"/>
        <v>2100000</v>
      </c>
    </row>
    <row r="24" spans="1:32" ht="12.75">
      <c r="A24" s="90">
        <v>4</v>
      </c>
      <c r="B24" s="200"/>
      <c r="C24" s="110"/>
      <c r="D24" s="110">
        <f>(B7+500000)*$A$24</f>
        <v>-5387500</v>
      </c>
      <c r="E24" s="110">
        <f aca="true" t="shared" si="7" ref="E24:AF24">C7*$A$24</f>
        <v>-409500</v>
      </c>
      <c r="F24" s="110">
        <f t="shared" si="7"/>
        <v>-409500</v>
      </c>
      <c r="G24" s="110">
        <f t="shared" si="7"/>
        <v>-85900</v>
      </c>
      <c r="H24" s="90">
        <f t="shared" si="7"/>
        <v>154100</v>
      </c>
      <c r="I24" s="110">
        <f t="shared" si="7"/>
        <v>154100</v>
      </c>
      <c r="J24" s="110">
        <f t="shared" si="7"/>
        <v>634100</v>
      </c>
      <c r="K24" s="110">
        <f t="shared" si="7"/>
        <v>954100</v>
      </c>
      <c r="L24" s="155">
        <f t="shared" si="7"/>
        <v>1754100</v>
      </c>
      <c r="M24" s="110">
        <f t="shared" si="7"/>
        <v>1754100</v>
      </c>
      <c r="N24" s="110">
        <f t="shared" si="7"/>
        <v>1754100</v>
      </c>
      <c r="O24" s="110">
        <f t="shared" si="7"/>
        <v>1754100</v>
      </c>
      <c r="P24" s="110">
        <f t="shared" si="7"/>
        <v>1754100</v>
      </c>
      <c r="Q24" s="110">
        <f t="shared" si="7"/>
        <v>1754100</v>
      </c>
      <c r="R24" s="90">
        <f t="shared" si="7"/>
        <v>1754100</v>
      </c>
      <c r="S24" s="110">
        <f t="shared" si="7"/>
        <v>1754100</v>
      </c>
      <c r="T24" s="110">
        <f t="shared" si="7"/>
        <v>1754100</v>
      </c>
      <c r="U24" s="110">
        <f t="shared" si="7"/>
        <v>1754100</v>
      </c>
      <c r="V24" s="155">
        <f t="shared" si="7"/>
        <v>954100</v>
      </c>
      <c r="W24" s="110">
        <f t="shared" si="7"/>
        <v>634100</v>
      </c>
      <c r="X24" s="110">
        <f t="shared" si="7"/>
        <v>634100</v>
      </c>
      <c r="Y24" s="110">
        <f t="shared" si="7"/>
        <v>634100</v>
      </c>
      <c r="Z24" s="110">
        <f t="shared" si="7"/>
        <v>634100</v>
      </c>
      <c r="AA24" s="110">
        <f t="shared" si="7"/>
        <v>634100</v>
      </c>
      <c r="AB24" s="90">
        <f t="shared" si="7"/>
        <v>634100</v>
      </c>
      <c r="AC24" s="110">
        <f t="shared" si="7"/>
        <v>634100</v>
      </c>
      <c r="AD24" s="110">
        <f t="shared" si="7"/>
        <v>634100</v>
      </c>
      <c r="AE24" s="110">
        <f t="shared" si="7"/>
        <v>634100</v>
      </c>
      <c r="AF24" s="155">
        <f t="shared" si="7"/>
        <v>634100</v>
      </c>
    </row>
    <row r="25" spans="1:32" ht="12.75">
      <c r="A25" s="90">
        <v>4</v>
      </c>
      <c r="B25" s="200"/>
      <c r="C25" s="110"/>
      <c r="D25" s="110"/>
      <c r="E25" s="110">
        <f>($B$7+500000)*$A$25</f>
        <v>-5387500</v>
      </c>
      <c r="F25" s="110">
        <f aca="true" t="shared" si="8" ref="F25:AF25">C7*$A$25</f>
        <v>-409500</v>
      </c>
      <c r="G25" s="110">
        <f t="shared" si="8"/>
        <v>-409500</v>
      </c>
      <c r="H25" s="90">
        <f t="shared" si="8"/>
        <v>-85900</v>
      </c>
      <c r="I25" s="110">
        <f t="shared" si="8"/>
        <v>154100</v>
      </c>
      <c r="J25" s="110">
        <f t="shared" si="8"/>
        <v>154100</v>
      </c>
      <c r="K25" s="110">
        <f t="shared" si="8"/>
        <v>634100</v>
      </c>
      <c r="L25" s="155">
        <f t="shared" si="8"/>
        <v>954100</v>
      </c>
      <c r="M25" s="110">
        <f t="shared" si="8"/>
        <v>1754100</v>
      </c>
      <c r="N25" s="110">
        <f t="shared" si="8"/>
        <v>1754100</v>
      </c>
      <c r="O25" s="110">
        <f t="shared" si="8"/>
        <v>1754100</v>
      </c>
      <c r="P25" s="110">
        <f t="shared" si="8"/>
        <v>1754100</v>
      </c>
      <c r="Q25" s="110">
        <f t="shared" si="8"/>
        <v>1754100</v>
      </c>
      <c r="R25" s="90">
        <f t="shared" si="8"/>
        <v>1754100</v>
      </c>
      <c r="S25" s="110">
        <f t="shared" si="8"/>
        <v>1754100</v>
      </c>
      <c r="T25" s="110">
        <f t="shared" si="8"/>
        <v>1754100</v>
      </c>
      <c r="U25" s="110">
        <f t="shared" si="8"/>
        <v>1754100</v>
      </c>
      <c r="V25" s="155">
        <f t="shared" si="8"/>
        <v>1754100</v>
      </c>
      <c r="W25" s="110">
        <f t="shared" si="8"/>
        <v>954100</v>
      </c>
      <c r="X25" s="110">
        <f t="shared" si="8"/>
        <v>634100</v>
      </c>
      <c r="Y25" s="110">
        <f t="shared" si="8"/>
        <v>634100</v>
      </c>
      <c r="Z25" s="110">
        <f t="shared" si="8"/>
        <v>634100</v>
      </c>
      <c r="AA25" s="110">
        <f t="shared" si="8"/>
        <v>634100</v>
      </c>
      <c r="AB25" s="90">
        <f t="shared" si="8"/>
        <v>634100</v>
      </c>
      <c r="AC25" s="110">
        <f t="shared" si="8"/>
        <v>634100</v>
      </c>
      <c r="AD25" s="110">
        <f t="shared" si="8"/>
        <v>634100</v>
      </c>
      <c r="AE25" s="110">
        <f t="shared" si="8"/>
        <v>634100</v>
      </c>
      <c r="AF25" s="155">
        <f t="shared" si="8"/>
        <v>634100</v>
      </c>
    </row>
    <row r="26" spans="1:32" ht="12.75">
      <c r="A26" s="90">
        <v>4</v>
      </c>
      <c r="B26" s="200"/>
      <c r="C26" s="110"/>
      <c r="D26" s="110"/>
      <c r="E26" s="110"/>
      <c r="F26" s="110">
        <f>($B$7+500000)*$A$26</f>
        <v>-5387500</v>
      </c>
      <c r="G26" s="110">
        <f aca="true" t="shared" si="9" ref="G26:AF26">C7*$A$26</f>
        <v>-409500</v>
      </c>
      <c r="H26" s="90">
        <f t="shared" si="9"/>
        <v>-409500</v>
      </c>
      <c r="I26" s="110">
        <f t="shared" si="9"/>
        <v>-85900</v>
      </c>
      <c r="J26" s="110">
        <f t="shared" si="9"/>
        <v>154100</v>
      </c>
      <c r="K26" s="110">
        <f t="shared" si="9"/>
        <v>154100</v>
      </c>
      <c r="L26" s="155">
        <f t="shared" si="9"/>
        <v>634100</v>
      </c>
      <c r="M26" s="110">
        <f t="shared" si="9"/>
        <v>954100</v>
      </c>
      <c r="N26" s="110">
        <f t="shared" si="9"/>
        <v>1754100</v>
      </c>
      <c r="O26" s="110">
        <f t="shared" si="9"/>
        <v>1754100</v>
      </c>
      <c r="P26" s="110">
        <f t="shared" si="9"/>
        <v>1754100</v>
      </c>
      <c r="Q26" s="110">
        <f t="shared" si="9"/>
        <v>1754100</v>
      </c>
      <c r="R26" s="90">
        <f t="shared" si="9"/>
        <v>1754100</v>
      </c>
      <c r="S26" s="110">
        <f t="shared" si="9"/>
        <v>1754100</v>
      </c>
      <c r="T26" s="110">
        <f t="shared" si="9"/>
        <v>1754100</v>
      </c>
      <c r="U26" s="110">
        <f t="shared" si="9"/>
        <v>1754100</v>
      </c>
      <c r="V26" s="155">
        <f t="shared" si="9"/>
        <v>1754100</v>
      </c>
      <c r="W26" s="110">
        <f t="shared" si="9"/>
        <v>1754100</v>
      </c>
      <c r="X26" s="110">
        <f t="shared" si="9"/>
        <v>954100</v>
      </c>
      <c r="Y26" s="110">
        <f t="shared" si="9"/>
        <v>634100</v>
      </c>
      <c r="Z26" s="110">
        <f t="shared" si="9"/>
        <v>634100</v>
      </c>
      <c r="AA26" s="110">
        <f t="shared" si="9"/>
        <v>634100</v>
      </c>
      <c r="AB26" s="90">
        <f t="shared" si="9"/>
        <v>634100</v>
      </c>
      <c r="AC26" s="110">
        <f t="shared" si="9"/>
        <v>634100</v>
      </c>
      <c r="AD26" s="110">
        <f t="shared" si="9"/>
        <v>634100</v>
      </c>
      <c r="AE26" s="110">
        <f t="shared" si="9"/>
        <v>634100</v>
      </c>
      <c r="AF26" s="155">
        <f t="shared" si="9"/>
        <v>634100</v>
      </c>
    </row>
    <row r="27" spans="1:32" ht="12.75">
      <c r="A27" s="90">
        <v>3</v>
      </c>
      <c r="B27" s="200"/>
      <c r="C27" s="110"/>
      <c r="D27" s="110"/>
      <c r="E27" s="110"/>
      <c r="F27" s="110"/>
      <c r="G27" s="110">
        <f>($B$7+500000)*$A$27</f>
        <v>-4040625</v>
      </c>
      <c r="H27" s="90">
        <f aca="true" t="shared" si="10" ref="H27:AF27">C7*$A$27</f>
        <v>-307125</v>
      </c>
      <c r="I27" s="110">
        <f t="shared" si="10"/>
        <v>-307125</v>
      </c>
      <c r="J27" s="110">
        <f t="shared" si="10"/>
        <v>-64425</v>
      </c>
      <c r="K27" s="110">
        <f t="shared" si="10"/>
        <v>115575</v>
      </c>
      <c r="L27" s="155">
        <f t="shared" si="10"/>
        <v>115575</v>
      </c>
      <c r="M27" s="110">
        <f t="shared" si="10"/>
        <v>475575</v>
      </c>
      <c r="N27" s="110">
        <f t="shared" si="10"/>
        <v>715575</v>
      </c>
      <c r="O27" s="110">
        <f t="shared" si="10"/>
        <v>1315575</v>
      </c>
      <c r="P27" s="110">
        <f t="shared" si="10"/>
        <v>1315575</v>
      </c>
      <c r="Q27" s="110">
        <f t="shared" si="10"/>
        <v>1315575</v>
      </c>
      <c r="R27" s="90">
        <f t="shared" si="10"/>
        <v>1315575</v>
      </c>
      <c r="S27" s="110">
        <f t="shared" si="10"/>
        <v>1315575</v>
      </c>
      <c r="T27" s="110">
        <f t="shared" si="10"/>
        <v>1315575</v>
      </c>
      <c r="U27" s="110">
        <f t="shared" si="10"/>
        <v>1315575</v>
      </c>
      <c r="V27" s="155">
        <f t="shared" si="10"/>
        <v>1315575</v>
      </c>
      <c r="W27" s="110">
        <f t="shared" si="10"/>
        <v>1315575</v>
      </c>
      <c r="X27" s="110">
        <f t="shared" si="10"/>
        <v>1315575</v>
      </c>
      <c r="Y27" s="110">
        <f t="shared" si="10"/>
        <v>715575</v>
      </c>
      <c r="Z27" s="110">
        <f t="shared" si="10"/>
        <v>475575</v>
      </c>
      <c r="AA27" s="110">
        <f t="shared" si="10"/>
        <v>475575</v>
      </c>
      <c r="AB27" s="90">
        <f t="shared" si="10"/>
        <v>475575</v>
      </c>
      <c r="AC27" s="110">
        <f t="shared" si="10"/>
        <v>475575</v>
      </c>
      <c r="AD27" s="110">
        <f t="shared" si="10"/>
        <v>475575</v>
      </c>
      <c r="AE27" s="110">
        <f t="shared" si="10"/>
        <v>475575</v>
      </c>
      <c r="AF27" s="155">
        <f t="shared" si="10"/>
        <v>475575</v>
      </c>
    </row>
    <row r="28" spans="1:32" ht="12.75">
      <c r="A28" s="90"/>
      <c r="B28" s="200" t="s">
        <v>210</v>
      </c>
      <c r="C28" s="110">
        <f aca="true" t="shared" si="11" ref="C28:AF28">C24+C25+C26+C27-C23</f>
        <v>0</v>
      </c>
      <c r="D28" s="110">
        <f t="shared" si="11"/>
        <v>-5947500</v>
      </c>
      <c r="E28" s="110">
        <f t="shared" si="11"/>
        <v>-6917000</v>
      </c>
      <c r="F28" s="110">
        <f t="shared" si="11"/>
        <v>-7886500</v>
      </c>
      <c r="G28" s="110">
        <f t="shared" si="11"/>
        <v>-7045525</v>
      </c>
      <c r="H28" s="90">
        <f t="shared" si="11"/>
        <v>-2748425</v>
      </c>
      <c r="I28" s="110">
        <f t="shared" si="11"/>
        <v>-2184825</v>
      </c>
      <c r="J28" s="110">
        <f t="shared" si="11"/>
        <v>-1222125</v>
      </c>
      <c r="K28" s="110">
        <f t="shared" si="11"/>
        <v>-242125</v>
      </c>
      <c r="L28" s="155">
        <f t="shared" si="11"/>
        <v>1357875</v>
      </c>
      <c r="M28" s="110">
        <f t="shared" si="11"/>
        <v>2837875</v>
      </c>
      <c r="N28" s="110">
        <f t="shared" si="11"/>
        <v>3877875</v>
      </c>
      <c r="O28" s="110">
        <f t="shared" si="11"/>
        <v>4477875</v>
      </c>
      <c r="P28" s="110">
        <f t="shared" si="11"/>
        <v>4477875</v>
      </c>
      <c r="Q28" s="110">
        <f t="shared" si="11"/>
        <v>4477875</v>
      </c>
      <c r="R28" s="90">
        <f t="shared" si="11"/>
        <v>4477875</v>
      </c>
      <c r="S28" s="110">
        <f t="shared" si="11"/>
        <v>4477875</v>
      </c>
      <c r="T28" s="110">
        <f t="shared" si="11"/>
        <v>4477875</v>
      </c>
      <c r="U28" s="110">
        <f t="shared" si="11"/>
        <v>4477875</v>
      </c>
      <c r="V28" s="155">
        <f t="shared" si="11"/>
        <v>3677875</v>
      </c>
      <c r="W28" s="110">
        <f t="shared" si="11"/>
        <v>2557875</v>
      </c>
      <c r="X28" s="110">
        <f t="shared" si="11"/>
        <v>1437875</v>
      </c>
      <c r="Y28" s="110">
        <f t="shared" si="11"/>
        <v>517875</v>
      </c>
      <c r="Z28" s="110">
        <f t="shared" si="11"/>
        <v>277875</v>
      </c>
      <c r="AA28" s="110">
        <f t="shared" si="11"/>
        <v>277875</v>
      </c>
      <c r="AB28" s="90">
        <f t="shared" si="11"/>
        <v>277875</v>
      </c>
      <c r="AC28" s="110">
        <f t="shared" si="11"/>
        <v>277875</v>
      </c>
      <c r="AD28" s="110">
        <f t="shared" si="11"/>
        <v>277875</v>
      </c>
      <c r="AE28" s="110">
        <f t="shared" si="11"/>
        <v>277875</v>
      </c>
      <c r="AF28" s="155">
        <f t="shared" si="11"/>
        <v>277875</v>
      </c>
    </row>
    <row r="29" spans="1:32" ht="12.75">
      <c r="A29" s="90"/>
      <c r="B29" s="200" t="s">
        <v>131</v>
      </c>
      <c r="C29" s="199">
        <v>0</v>
      </c>
      <c r="D29" s="199">
        <f>D28/'ERR &amp; Sensitivity Analysis'!$D$13</f>
        <v>-71656.6265060241</v>
      </c>
      <c r="E29" s="199">
        <f>E28/'ERR &amp; Sensitivity Analysis'!$D$13</f>
        <v>-83337.34939759035</v>
      </c>
      <c r="F29" s="199">
        <f>F28/'ERR &amp; Sensitivity Analysis'!$D$13</f>
        <v>-95018.07228915663</v>
      </c>
      <c r="G29" s="199">
        <f>G28/'ERR &amp; Sensitivity Analysis'!$D$13</f>
        <v>-84885.84337349398</v>
      </c>
      <c r="H29" s="204">
        <f>H28/'ERR &amp; Sensitivity Analysis'!$D$13</f>
        <v>-33113.55421686747</v>
      </c>
      <c r="I29" s="199">
        <f>I28/'ERR &amp; Sensitivity Analysis'!$D$13</f>
        <v>-26323.192771084337</v>
      </c>
      <c r="J29" s="199">
        <f>J28/'ERR &amp; Sensitivity Analysis'!$D$13</f>
        <v>-14724.397590361446</v>
      </c>
      <c r="K29" s="199">
        <f>K28/'ERR &amp; Sensitivity Analysis'!$D$13</f>
        <v>-2917.1686746987953</v>
      </c>
      <c r="L29" s="205">
        <f>L28/'ERR &amp; Sensitivity Analysis'!$D$13</f>
        <v>16359.939759036144</v>
      </c>
      <c r="M29" s="199">
        <f>M28/'ERR &amp; Sensitivity Analysis'!$D$13</f>
        <v>34191.26506024096</v>
      </c>
      <c r="N29" s="199">
        <f>N28/'ERR &amp; Sensitivity Analysis'!$D$13</f>
        <v>46721.385542168675</v>
      </c>
      <c r="O29" s="199">
        <f>O28/'ERR &amp; Sensitivity Analysis'!$D$13</f>
        <v>53950.301204819276</v>
      </c>
      <c r="P29" s="199">
        <f>P28/'ERR &amp; Sensitivity Analysis'!$D$13</f>
        <v>53950.301204819276</v>
      </c>
      <c r="Q29" s="199">
        <f>Q28/'ERR &amp; Sensitivity Analysis'!$D$13</f>
        <v>53950.301204819276</v>
      </c>
      <c r="R29" s="204">
        <f>R28/'ERR &amp; Sensitivity Analysis'!$D$13</f>
        <v>53950.301204819276</v>
      </c>
      <c r="S29" s="199">
        <f>S28/'ERR &amp; Sensitivity Analysis'!$D$13</f>
        <v>53950.301204819276</v>
      </c>
      <c r="T29" s="199">
        <f>T28/'ERR &amp; Sensitivity Analysis'!$D$13</f>
        <v>53950.301204819276</v>
      </c>
      <c r="U29" s="199">
        <f>U28/'ERR &amp; Sensitivity Analysis'!$D$13</f>
        <v>53950.301204819276</v>
      </c>
      <c r="V29" s="205">
        <f>V28/'ERR &amp; Sensitivity Analysis'!$D$13</f>
        <v>44311.74698795181</v>
      </c>
      <c r="W29" s="199">
        <f>W28/'ERR &amp; Sensitivity Analysis'!$D$13</f>
        <v>30817.77108433735</v>
      </c>
      <c r="X29" s="199">
        <f>X28/'ERR &amp; Sensitivity Analysis'!$D$13</f>
        <v>17323.795180722893</v>
      </c>
      <c r="Y29" s="199">
        <f>Y28/'ERR &amp; Sensitivity Analysis'!$D$13</f>
        <v>6239.457831325301</v>
      </c>
      <c r="Z29" s="199">
        <f>Z28/'ERR &amp; Sensitivity Analysis'!$D$13</f>
        <v>3347.89156626506</v>
      </c>
      <c r="AA29" s="199">
        <f>AA28/'ERR &amp; Sensitivity Analysis'!$D$13</f>
        <v>3347.89156626506</v>
      </c>
      <c r="AB29" s="204">
        <f>AB28/'ERR &amp; Sensitivity Analysis'!$D$13</f>
        <v>3347.89156626506</v>
      </c>
      <c r="AC29" s="199">
        <f>AC28/'ERR &amp; Sensitivity Analysis'!$D$13</f>
        <v>3347.89156626506</v>
      </c>
      <c r="AD29" s="199">
        <f>AD28/'ERR &amp; Sensitivity Analysis'!$D$13</f>
        <v>3347.89156626506</v>
      </c>
      <c r="AE29" s="199">
        <f>AE28/'ERR &amp; Sensitivity Analysis'!$D$13</f>
        <v>3347.89156626506</v>
      </c>
      <c r="AF29" s="205">
        <f>AF28/'ERR &amp; Sensitivity Analysis'!$D$13</f>
        <v>3347.89156626506</v>
      </c>
    </row>
    <row r="30" spans="1:32" ht="12.75">
      <c r="A30" s="145"/>
      <c r="B30" s="206"/>
      <c r="C30" s="146"/>
      <c r="D30" s="146"/>
      <c r="E30" s="146"/>
      <c r="F30" s="146"/>
      <c r="G30" s="207"/>
      <c r="H30" s="145"/>
      <c r="I30" s="146"/>
      <c r="J30" s="146"/>
      <c r="K30" s="146"/>
      <c r="L30" s="147"/>
      <c r="M30" s="146"/>
      <c r="N30" s="146"/>
      <c r="O30" s="146"/>
      <c r="P30" s="146"/>
      <c r="Q30" s="207"/>
      <c r="R30" s="145"/>
      <c r="S30" s="146"/>
      <c r="T30" s="146"/>
      <c r="U30" s="146"/>
      <c r="V30" s="147">
        <f>IRR(B28:V28)</f>
        <v>0.02083837433642489</v>
      </c>
      <c r="W30" s="146"/>
      <c r="X30" s="146"/>
      <c r="Y30" s="146"/>
      <c r="Z30" s="146"/>
      <c r="AA30" s="207">
        <f>IRR(B28:AA28)</f>
        <v>0.02939301376400797</v>
      </c>
      <c r="AB30" s="145"/>
      <c r="AC30" s="146"/>
      <c r="AD30" s="146"/>
      <c r="AE30" s="146"/>
      <c r="AF30" s="147">
        <f>IRR(B28:AF28)</f>
        <v>0.031134309516589197</v>
      </c>
    </row>
    <row r="32" spans="1:7" ht="12.75">
      <c r="A32" s="31" t="s">
        <v>214</v>
      </c>
      <c r="B32" s="182">
        <v>75</v>
      </c>
      <c r="C32" s="398" t="s">
        <v>215</v>
      </c>
      <c r="D32" s="398"/>
      <c r="E32" s="398"/>
      <c r="F32" s="398"/>
      <c r="G32" s="398"/>
    </row>
    <row r="33" spans="1:7" ht="12.75">
      <c r="A33" s="210" t="s">
        <v>216</v>
      </c>
      <c r="B33" s="211">
        <v>0.25</v>
      </c>
      <c r="C33" s="212"/>
      <c r="D33" s="212"/>
      <c r="E33" s="212"/>
      <c r="F33" s="212"/>
      <c r="G33" s="213"/>
    </row>
    <row r="34" spans="1:32" ht="12.75">
      <c r="A34" s="89" t="s">
        <v>217</v>
      </c>
      <c r="B34" s="209"/>
      <c r="C34" s="188">
        <f>140000-140000</f>
        <v>0</v>
      </c>
      <c r="D34" s="188">
        <f>140000-140000</f>
        <v>0</v>
      </c>
      <c r="E34" s="188">
        <f>140000-140000</f>
        <v>0</v>
      </c>
      <c r="F34" s="188">
        <f>200000-140000</f>
        <v>60000</v>
      </c>
      <c r="G34" s="188">
        <f>200000-140000</f>
        <v>60000</v>
      </c>
      <c r="H34" s="89">
        <f>200000-140000</f>
        <v>60000</v>
      </c>
      <c r="I34" s="188">
        <f>200000-140000</f>
        <v>60000</v>
      </c>
      <c r="J34" s="188">
        <f>320000-140000</f>
        <v>180000</v>
      </c>
      <c r="K34" s="188">
        <f aca="true" t="shared" si="12" ref="K34:AF34">320000-140000</f>
        <v>180000</v>
      </c>
      <c r="L34" s="198">
        <f t="shared" si="12"/>
        <v>180000</v>
      </c>
      <c r="M34" s="188">
        <f t="shared" si="12"/>
        <v>180000</v>
      </c>
      <c r="N34" s="188">
        <f t="shared" si="12"/>
        <v>180000</v>
      </c>
      <c r="O34" s="188">
        <f t="shared" si="12"/>
        <v>180000</v>
      </c>
      <c r="P34" s="188">
        <f t="shared" si="12"/>
        <v>180000</v>
      </c>
      <c r="Q34" s="188">
        <f t="shared" si="12"/>
        <v>180000</v>
      </c>
      <c r="R34" s="89">
        <f t="shared" si="12"/>
        <v>180000</v>
      </c>
      <c r="S34" s="188">
        <f t="shared" si="12"/>
        <v>180000</v>
      </c>
      <c r="T34" s="188">
        <f t="shared" si="12"/>
        <v>180000</v>
      </c>
      <c r="U34" s="188">
        <f t="shared" si="12"/>
        <v>180000</v>
      </c>
      <c r="V34" s="198">
        <f t="shared" si="12"/>
        <v>180000</v>
      </c>
      <c r="W34" s="188">
        <f t="shared" si="12"/>
        <v>180000</v>
      </c>
      <c r="X34" s="188">
        <f t="shared" si="12"/>
        <v>180000</v>
      </c>
      <c r="Y34" s="188">
        <f t="shared" si="12"/>
        <v>180000</v>
      </c>
      <c r="Z34" s="188">
        <f t="shared" si="12"/>
        <v>180000</v>
      </c>
      <c r="AA34" s="188">
        <f t="shared" si="12"/>
        <v>180000</v>
      </c>
      <c r="AB34" s="89">
        <f t="shared" si="12"/>
        <v>180000</v>
      </c>
      <c r="AC34" s="188">
        <f t="shared" si="12"/>
        <v>180000</v>
      </c>
      <c r="AD34" s="188">
        <f t="shared" si="12"/>
        <v>180000</v>
      </c>
      <c r="AE34" s="188">
        <f t="shared" si="12"/>
        <v>180000</v>
      </c>
      <c r="AF34" s="198">
        <f t="shared" si="12"/>
        <v>180000</v>
      </c>
    </row>
    <row r="35" spans="1:32" ht="12.75">
      <c r="A35" s="90" t="s">
        <v>218</v>
      </c>
      <c r="B35" s="200"/>
      <c r="C35" s="199">
        <f>161475*$B$33</f>
        <v>40368.75</v>
      </c>
      <c r="D35" s="199">
        <f aca="true" t="shared" si="13" ref="D35:AF35">161475*$B$33</f>
        <v>40368.75</v>
      </c>
      <c r="E35" s="199">
        <f t="shared" si="13"/>
        <v>40368.75</v>
      </c>
      <c r="F35" s="199">
        <f t="shared" si="13"/>
        <v>40368.75</v>
      </c>
      <c r="G35" s="199">
        <f t="shared" si="13"/>
        <v>40368.75</v>
      </c>
      <c r="H35" s="204">
        <f t="shared" si="13"/>
        <v>40368.75</v>
      </c>
      <c r="I35" s="199">
        <f t="shared" si="13"/>
        <v>40368.75</v>
      </c>
      <c r="J35" s="199">
        <f t="shared" si="13"/>
        <v>40368.75</v>
      </c>
      <c r="K35" s="199">
        <f t="shared" si="13"/>
        <v>40368.75</v>
      </c>
      <c r="L35" s="205">
        <f t="shared" si="13"/>
        <v>40368.75</v>
      </c>
      <c r="M35" s="199">
        <f t="shared" si="13"/>
        <v>40368.75</v>
      </c>
      <c r="N35" s="199">
        <f t="shared" si="13"/>
        <v>40368.75</v>
      </c>
      <c r="O35" s="199">
        <f t="shared" si="13"/>
        <v>40368.75</v>
      </c>
      <c r="P35" s="199">
        <f t="shared" si="13"/>
        <v>40368.75</v>
      </c>
      <c r="Q35" s="199">
        <f t="shared" si="13"/>
        <v>40368.75</v>
      </c>
      <c r="R35" s="204">
        <f t="shared" si="13"/>
        <v>40368.75</v>
      </c>
      <c r="S35" s="199">
        <f t="shared" si="13"/>
        <v>40368.75</v>
      </c>
      <c r="T35" s="199">
        <f t="shared" si="13"/>
        <v>40368.75</v>
      </c>
      <c r="U35" s="199">
        <f t="shared" si="13"/>
        <v>40368.75</v>
      </c>
      <c r="V35" s="205">
        <f t="shared" si="13"/>
        <v>40368.75</v>
      </c>
      <c r="W35" s="199">
        <f t="shared" si="13"/>
        <v>40368.75</v>
      </c>
      <c r="X35" s="199">
        <f t="shared" si="13"/>
        <v>40368.75</v>
      </c>
      <c r="Y35" s="199">
        <f t="shared" si="13"/>
        <v>40368.75</v>
      </c>
      <c r="Z35" s="199">
        <f t="shared" si="13"/>
        <v>40368.75</v>
      </c>
      <c r="AA35" s="199">
        <f t="shared" si="13"/>
        <v>40368.75</v>
      </c>
      <c r="AB35" s="204">
        <f t="shared" si="13"/>
        <v>40368.75</v>
      </c>
      <c r="AC35" s="199">
        <f t="shared" si="13"/>
        <v>40368.75</v>
      </c>
      <c r="AD35" s="199">
        <f t="shared" si="13"/>
        <v>40368.75</v>
      </c>
      <c r="AE35" s="199">
        <f t="shared" si="13"/>
        <v>40368.75</v>
      </c>
      <c r="AF35" s="205">
        <f t="shared" si="13"/>
        <v>40368.75</v>
      </c>
    </row>
    <row r="36" spans="1:32" ht="12.75">
      <c r="A36" s="90" t="s">
        <v>219</v>
      </c>
      <c r="B36" s="200"/>
      <c r="C36" s="199">
        <f>C34-C35</f>
        <v>-40368.75</v>
      </c>
      <c r="D36" s="199">
        <f aca="true" t="shared" si="14" ref="D36:AF36">D34-D35</f>
        <v>-40368.75</v>
      </c>
      <c r="E36" s="199">
        <f t="shared" si="14"/>
        <v>-40368.75</v>
      </c>
      <c r="F36" s="199">
        <f t="shared" si="14"/>
        <v>19631.25</v>
      </c>
      <c r="G36" s="199">
        <f t="shared" si="14"/>
        <v>19631.25</v>
      </c>
      <c r="H36" s="204">
        <f t="shared" si="14"/>
        <v>19631.25</v>
      </c>
      <c r="I36" s="199">
        <f t="shared" si="14"/>
        <v>19631.25</v>
      </c>
      <c r="J36" s="199">
        <f t="shared" si="14"/>
        <v>139631.25</v>
      </c>
      <c r="K36" s="199">
        <f t="shared" si="14"/>
        <v>139631.25</v>
      </c>
      <c r="L36" s="205">
        <f t="shared" si="14"/>
        <v>139631.25</v>
      </c>
      <c r="M36" s="199">
        <f t="shared" si="14"/>
        <v>139631.25</v>
      </c>
      <c r="N36" s="199">
        <f t="shared" si="14"/>
        <v>139631.25</v>
      </c>
      <c r="O36" s="199">
        <f t="shared" si="14"/>
        <v>139631.25</v>
      </c>
      <c r="P36" s="199">
        <f t="shared" si="14"/>
        <v>139631.25</v>
      </c>
      <c r="Q36" s="199">
        <f t="shared" si="14"/>
        <v>139631.25</v>
      </c>
      <c r="R36" s="204">
        <f t="shared" si="14"/>
        <v>139631.25</v>
      </c>
      <c r="S36" s="199">
        <f t="shared" si="14"/>
        <v>139631.25</v>
      </c>
      <c r="T36" s="199">
        <f t="shared" si="14"/>
        <v>139631.25</v>
      </c>
      <c r="U36" s="199">
        <f t="shared" si="14"/>
        <v>139631.25</v>
      </c>
      <c r="V36" s="205">
        <f t="shared" si="14"/>
        <v>139631.25</v>
      </c>
      <c r="W36" s="199">
        <f t="shared" si="14"/>
        <v>139631.25</v>
      </c>
      <c r="X36" s="199">
        <f t="shared" si="14"/>
        <v>139631.25</v>
      </c>
      <c r="Y36" s="199">
        <f t="shared" si="14"/>
        <v>139631.25</v>
      </c>
      <c r="Z36" s="199">
        <f t="shared" si="14"/>
        <v>139631.25</v>
      </c>
      <c r="AA36" s="199">
        <f t="shared" si="14"/>
        <v>139631.25</v>
      </c>
      <c r="AB36" s="204">
        <f t="shared" si="14"/>
        <v>139631.25</v>
      </c>
      <c r="AC36" s="199">
        <f t="shared" si="14"/>
        <v>139631.25</v>
      </c>
      <c r="AD36" s="199">
        <f t="shared" si="14"/>
        <v>139631.25</v>
      </c>
      <c r="AE36" s="199">
        <f t="shared" si="14"/>
        <v>139631.25</v>
      </c>
      <c r="AF36" s="205">
        <f t="shared" si="14"/>
        <v>139631.25</v>
      </c>
    </row>
    <row r="37" spans="1:32" ht="12.75">
      <c r="A37" s="90"/>
      <c r="B37" s="200" t="s">
        <v>131</v>
      </c>
      <c r="C37" s="199">
        <f>C36/'ERR &amp; Sensitivity Analysis'!$D$13</f>
        <v>-486.37048192771084</v>
      </c>
      <c r="D37" s="199">
        <f>D36/'ERR &amp; Sensitivity Analysis'!$D$13</f>
        <v>-486.37048192771084</v>
      </c>
      <c r="E37" s="199">
        <f>E36/'ERR &amp; Sensitivity Analysis'!$D$13</f>
        <v>-486.37048192771084</v>
      </c>
      <c r="F37" s="199">
        <f>F36/'ERR &amp; Sensitivity Analysis'!$D$13</f>
        <v>236.5210843373494</v>
      </c>
      <c r="G37" s="199">
        <f>G36/'ERR &amp; Sensitivity Analysis'!$D$13</f>
        <v>236.5210843373494</v>
      </c>
      <c r="H37" s="204">
        <f>H36/'ERR &amp; Sensitivity Analysis'!$D$13</f>
        <v>236.5210843373494</v>
      </c>
      <c r="I37" s="199">
        <f>I36/'ERR &amp; Sensitivity Analysis'!$D$13</f>
        <v>236.5210843373494</v>
      </c>
      <c r="J37" s="199">
        <f>J36/'ERR &amp; Sensitivity Analysis'!$D$13</f>
        <v>1682.30421686747</v>
      </c>
      <c r="K37" s="199">
        <f>K36/'ERR &amp; Sensitivity Analysis'!$D$13</f>
        <v>1682.30421686747</v>
      </c>
      <c r="L37" s="205">
        <f>L36/'ERR &amp; Sensitivity Analysis'!$D$13</f>
        <v>1682.30421686747</v>
      </c>
      <c r="M37" s="199">
        <f>M36/'ERR &amp; Sensitivity Analysis'!$D$13</f>
        <v>1682.30421686747</v>
      </c>
      <c r="N37" s="199">
        <f>N36/'ERR &amp; Sensitivity Analysis'!$D$13</f>
        <v>1682.30421686747</v>
      </c>
      <c r="O37" s="199">
        <f>O36/'ERR &amp; Sensitivity Analysis'!$D$13</f>
        <v>1682.30421686747</v>
      </c>
      <c r="P37" s="199">
        <f>P36/'ERR &amp; Sensitivity Analysis'!$D$13</f>
        <v>1682.30421686747</v>
      </c>
      <c r="Q37" s="199">
        <f>Q36/'ERR &amp; Sensitivity Analysis'!$D$13</f>
        <v>1682.30421686747</v>
      </c>
      <c r="R37" s="204">
        <f>R36/'ERR &amp; Sensitivity Analysis'!$D$13</f>
        <v>1682.30421686747</v>
      </c>
      <c r="S37" s="199">
        <f>S36/'ERR &amp; Sensitivity Analysis'!$D$13</f>
        <v>1682.30421686747</v>
      </c>
      <c r="T37" s="199">
        <f>T36/'ERR &amp; Sensitivity Analysis'!$D$13</f>
        <v>1682.30421686747</v>
      </c>
      <c r="U37" s="199">
        <f>U36/'ERR &amp; Sensitivity Analysis'!$D$13</f>
        <v>1682.30421686747</v>
      </c>
      <c r="V37" s="205">
        <f>V36/'ERR &amp; Sensitivity Analysis'!$D$13</f>
        <v>1682.30421686747</v>
      </c>
      <c r="W37" s="199">
        <f>W36/'ERR &amp; Sensitivity Analysis'!$D$13</f>
        <v>1682.30421686747</v>
      </c>
      <c r="X37" s="199">
        <f>X36/'ERR &amp; Sensitivity Analysis'!$D$13</f>
        <v>1682.30421686747</v>
      </c>
      <c r="Y37" s="199">
        <f>Y36/'ERR &amp; Sensitivity Analysis'!$D$13</f>
        <v>1682.30421686747</v>
      </c>
      <c r="Z37" s="199">
        <f>Z36/'ERR &amp; Sensitivity Analysis'!$D$13</f>
        <v>1682.30421686747</v>
      </c>
      <c r="AA37" s="199">
        <f>AA36/'ERR &amp; Sensitivity Analysis'!$D$13</f>
        <v>1682.30421686747</v>
      </c>
      <c r="AB37" s="204">
        <f>AB36/'ERR &amp; Sensitivity Analysis'!$D$13</f>
        <v>1682.30421686747</v>
      </c>
      <c r="AC37" s="199">
        <f>AC36/'ERR &amp; Sensitivity Analysis'!$D$13</f>
        <v>1682.30421686747</v>
      </c>
      <c r="AD37" s="199">
        <f>AD36/'ERR &amp; Sensitivity Analysis'!$D$13</f>
        <v>1682.30421686747</v>
      </c>
      <c r="AE37" s="199">
        <f>AE36/'ERR &amp; Sensitivity Analysis'!$D$13</f>
        <v>1682.30421686747</v>
      </c>
      <c r="AF37" s="205">
        <f>AF36/'ERR &amp; Sensitivity Analysis'!$D$13</f>
        <v>1682.30421686747</v>
      </c>
    </row>
    <row r="38" spans="1:32" ht="12.75">
      <c r="A38" s="145"/>
      <c r="B38" s="206"/>
      <c r="C38" s="146"/>
      <c r="D38" s="146"/>
      <c r="E38" s="146"/>
      <c r="F38" s="146"/>
      <c r="G38" s="207"/>
      <c r="H38" s="145"/>
      <c r="I38" s="146"/>
      <c r="J38" s="146"/>
      <c r="K38" s="146"/>
      <c r="L38" s="147">
        <f>IRR(B36:L36)</f>
        <v>0.2555495973199289</v>
      </c>
      <c r="M38" s="146"/>
      <c r="N38" s="146"/>
      <c r="O38" s="146"/>
      <c r="P38" s="146"/>
      <c r="Q38" s="207">
        <f>IRR(B36:Q36)</f>
        <v>0.32590025627529906</v>
      </c>
      <c r="R38" s="145"/>
      <c r="S38" s="146"/>
      <c r="T38" s="146"/>
      <c r="U38" s="146"/>
      <c r="V38" s="147">
        <f>IRR(B36:V36)</f>
        <v>0.33722691082527334</v>
      </c>
      <c r="W38" s="146"/>
      <c r="X38" s="146"/>
      <c r="Y38" s="146"/>
      <c r="Z38" s="146"/>
      <c r="AA38" s="207">
        <f>IRR(B36:AA36)</f>
        <v>0.33958193682685905</v>
      </c>
      <c r="AB38" s="145"/>
      <c r="AC38" s="146"/>
      <c r="AD38" s="146"/>
      <c r="AE38" s="146"/>
      <c r="AF38" s="147">
        <f>IRR(B36:AF36)</f>
        <v>0.34010901010465855</v>
      </c>
    </row>
  </sheetData>
  <mergeCells count="4">
    <mergeCell ref="B5:C5"/>
    <mergeCell ref="C22:G22"/>
    <mergeCell ref="C32:G32"/>
    <mergeCell ref="A2:F2"/>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5" footer="0.5"/>
  <pageSetup fitToWidth="2" fitToHeight="1" horizontalDpi="600" verticalDpi="600" orientation="landscape" scale="78" r:id="rId2"/>
  <headerFooter alignWithMargins="0">
    <oddFooter>&amp;L&amp;G&amp;R&amp;P / &amp;N</oddFooter>
  </headerFooter>
  <legacyDrawingHF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P29"/>
  <sheetViews>
    <sheetView workbookViewId="0" topLeftCell="A1">
      <pane xSplit="1" ySplit="10" topLeftCell="B11" activePane="bottomRight" state="frozen"/>
      <selection pane="topLeft" activeCell="A1" sqref="A1"/>
      <selection pane="topRight" activeCell="B1" sqref="B1"/>
      <selection pane="bottomLeft" activeCell="A5" sqref="A5"/>
      <selection pane="bottomRight" activeCell="G2" sqref="G2"/>
    </sheetView>
  </sheetViews>
  <sheetFormatPr defaultColWidth="9.140625" defaultRowHeight="12.75"/>
  <cols>
    <col min="1" max="1" width="27.7109375" style="3" customWidth="1"/>
    <col min="2" max="2" width="14.00390625" style="3" customWidth="1"/>
    <col min="3" max="3" width="8.140625" style="3" bestFit="1" customWidth="1"/>
    <col min="4" max="4" width="11.140625" style="3" bestFit="1" customWidth="1"/>
    <col min="5" max="5" width="9.8515625" style="3" bestFit="1" customWidth="1"/>
    <col min="6" max="6" width="10.7109375" style="3" bestFit="1" customWidth="1"/>
    <col min="7" max="7" width="11.28125" style="3" bestFit="1" customWidth="1"/>
    <col min="8" max="9" width="11.28125" style="3" customWidth="1"/>
    <col min="10" max="12" width="10.7109375" style="3" customWidth="1"/>
    <col min="13" max="14" width="9.140625" style="3" customWidth="1"/>
    <col min="15" max="15" width="11.28125" style="3" customWidth="1"/>
    <col min="16" max="16" width="7.7109375" style="3" bestFit="1" customWidth="1"/>
    <col min="17" max="16384" width="9.140625" style="3" customWidth="1"/>
  </cols>
  <sheetData>
    <row r="1" ht="20.25">
      <c r="A1" s="86" t="s">
        <v>318</v>
      </c>
    </row>
    <row r="2" spans="1:6" ht="12.75">
      <c r="A2" s="371">
        <f>IF('ERR &amp; Sensitivity Analysis'!$I$10="N","Note: Current calculations are based on user input and are not the original MCC estimates.",IF('ERR &amp; Sensitivity Analysis'!$I$11="N","Note: Current calculations are based on user input and are not the original MCC estimates.",0))</f>
        <v>0</v>
      </c>
      <c r="B2" s="371"/>
      <c r="C2" s="371"/>
      <c r="D2" s="371"/>
      <c r="E2" s="371"/>
      <c r="F2" s="371"/>
    </row>
    <row r="3" ht="18">
      <c r="A3" s="88" t="s">
        <v>330</v>
      </c>
    </row>
    <row r="4" spans="1:2" ht="12.75">
      <c r="A4" s="3">
        <f>'ERR &amp; Sensitivity Analysis'!D13</f>
        <v>83</v>
      </c>
      <c r="B4" s="3" t="s">
        <v>64</v>
      </c>
    </row>
    <row r="5" spans="1:2" ht="12.75">
      <c r="A5" s="3">
        <v>907</v>
      </c>
      <c r="B5" s="3" t="s">
        <v>65</v>
      </c>
    </row>
    <row r="10" spans="1:16" s="218" customFormat="1" ht="52.5" customHeight="1">
      <c r="A10" s="214"/>
      <c r="B10" s="215" t="s">
        <v>132</v>
      </c>
      <c r="C10" s="215" t="s">
        <v>60</v>
      </c>
      <c r="D10" s="215" t="s">
        <v>58</v>
      </c>
      <c r="E10" s="215" t="s">
        <v>126</v>
      </c>
      <c r="F10" s="215" t="s">
        <v>127</v>
      </c>
      <c r="G10" s="215" t="s">
        <v>128</v>
      </c>
      <c r="H10" s="215" t="s">
        <v>134</v>
      </c>
      <c r="I10" s="215" t="s">
        <v>240</v>
      </c>
      <c r="J10" s="215" t="s">
        <v>129</v>
      </c>
      <c r="K10" s="215" t="s">
        <v>241</v>
      </c>
      <c r="L10" s="61" t="s">
        <v>252</v>
      </c>
      <c r="M10" s="216" t="s">
        <v>58</v>
      </c>
      <c r="N10" s="62" t="s">
        <v>58</v>
      </c>
      <c r="O10" s="217" t="s">
        <v>130</v>
      </c>
      <c r="P10" s="63" t="s">
        <v>130</v>
      </c>
    </row>
    <row r="11" spans="1:16" ht="38.25">
      <c r="A11" s="200"/>
      <c r="B11" s="219"/>
      <c r="C11" s="219"/>
      <c r="D11" s="219"/>
      <c r="E11" s="219"/>
      <c r="F11" s="219"/>
      <c r="G11" s="219"/>
      <c r="H11" s="219"/>
      <c r="I11" s="219"/>
      <c r="J11" s="219"/>
      <c r="K11" s="219"/>
      <c r="L11" s="64" t="s">
        <v>131</v>
      </c>
      <c r="M11" s="220"/>
      <c r="N11" s="65" t="s">
        <v>131</v>
      </c>
      <c r="O11" s="221" t="s">
        <v>133</v>
      </c>
      <c r="P11" s="55" t="s">
        <v>131</v>
      </c>
    </row>
    <row r="12" spans="1:16" ht="12.75">
      <c r="A12" s="66" t="s">
        <v>57</v>
      </c>
      <c r="B12" s="222">
        <f>'Crop Data'!B10+'Crop Data'!D10</f>
        <v>10930</v>
      </c>
      <c r="C12" s="222">
        <f>'Crop Data'!G10*'Crop Data'!L10*'Crop Data'!M10*'Crop Data'!H10</f>
        <v>0</v>
      </c>
      <c r="D12" s="222">
        <f>'Crop Data'!I10*'Crop Data'!J10*'Crop Data'!K10</f>
        <v>0</v>
      </c>
      <c r="E12" s="222">
        <f>B12+C12+D12</f>
        <v>10930</v>
      </c>
      <c r="F12" s="110">
        <v>0</v>
      </c>
      <c r="G12" s="110">
        <v>0</v>
      </c>
      <c r="H12" s="222">
        <f>E12+F12+G12</f>
        <v>10930</v>
      </c>
      <c r="I12" s="222">
        <f>H12/$A$4</f>
        <v>131.6867469879518</v>
      </c>
      <c r="J12" s="222">
        <f>('Crop Data'!O10*A5*'Crop Data'!P10)+('Crop Data'!O11*1000*'Crop Data'!P11)</f>
        <v>20442</v>
      </c>
      <c r="K12" s="222">
        <f>J12/$A$4</f>
        <v>246.289156626506</v>
      </c>
      <c r="L12" s="58">
        <f>K12-I12</f>
        <v>114.6024096385542</v>
      </c>
      <c r="M12" s="223">
        <f>D12</f>
        <v>0</v>
      </c>
      <c r="N12" s="59">
        <f>M12/$A$4</f>
        <v>0</v>
      </c>
      <c r="O12" s="224">
        <f>J12-H12+M12</f>
        <v>9512</v>
      </c>
      <c r="P12" s="56">
        <f>O12/$A$4</f>
        <v>114.60240963855422</v>
      </c>
    </row>
    <row r="13" spans="1:16" ht="12.75">
      <c r="A13" s="66" t="s">
        <v>48</v>
      </c>
      <c r="B13" s="222">
        <f>'Crop Data'!B13+'Crop Data'!D13+('Crop Data'!I13*'Crop Data'!J13*'Crop Data'!K13)</f>
        <v>155600</v>
      </c>
      <c r="C13" s="222">
        <f>'Crop Data'!G13*'Crop Data'!L13*'Crop Data'!M13*'Crop Data'!H13</f>
        <v>0</v>
      </c>
      <c r="D13" s="222">
        <f>'Crop Data'!I13*'Crop Data'!J13*'Crop Data'!K13</f>
        <v>21600</v>
      </c>
      <c r="E13" s="222">
        <f aca="true" t="shared" si="0" ref="E13:E25">B13+C13+D13</f>
        <v>177200</v>
      </c>
      <c r="F13" s="110">
        <v>0</v>
      </c>
      <c r="G13" s="110">
        <v>0</v>
      </c>
      <c r="H13" s="222">
        <f aca="true" t="shared" si="1" ref="H13:H25">E13+F13+G13</f>
        <v>177200</v>
      </c>
      <c r="I13" s="222">
        <f aca="true" t="shared" si="2" ref="I13:I26">H13/$A$4</f>
        <v>2134.9397590361446</v>
      </c>
      <c r="J13" s="222">
        <f>'Crop Data'!O13*A5*'Crop Data'!P13</f>
        <v>272100</v>
      </c>
      <c r="K13" s="222">
        <f>J13/$A$4</f>
        <v>3278.3132530120483</v>
      </c>
      <c r="L13" s="58">
        <f aca="true" t="shared" si="3" ref="L13:L25">K13-I13</f>
        <v>1143.3734939759038</v>
      </c>
      <c r="M13" s="223">
        <f>D13</f>
        <v>21600</v>
      </c>
      <c r="N13" s="59">
        <f>M13/$A$4</f>
        <v>260.2409638554217</v>
      </c>
      <c r="O13" s="224">
        <f aca="true" t="shared" si="4" ref="O13:O25">J13-H13+M13</f>
        <v>116500</v>
      </c>
      <c r="P13" s="56">
        <f aca="true" t="shared" si="5" ref="P13:P26">O13/$A$4</f>
        <v>1403.6144578313254</v>
      </c>
    </row>
    <row r="14" spans="1:16" ht="12.75">
      <c r="A14" s="225"/>
      <c r="B14" s="222"/>
      <c r="C14" s="222"/>
      <c r="D14" s="222"/>
      <c r="E14" s="222"/>
      <c r="F14" s="110"/>
      <c r="G14" s="110"/>
      <c r="H14" s="222"/>
      <c r="I14" s="222"/>
      <c r="J14" s="222"/>
      <c r="K14" s="222"/>
      <c r="L14" s="58"/>
      <c r="M14" s="223"/>
      <c r="N14" s="59"/>
      <c r="O14" s="224"/>
      <c r="P14" s="56"/>
    </row>
    <row r="15" spans="1:16" ht="25.5">
      <c r="A15" s="66" t="s">
        <v>15</v>
      </c>
      <c r="B15" s="222"/>
      <c r="C15" s="226"/>
      <c r="D15" s="222"/>
      <c r="E15" s="222"/>
      <c r="F15" s="110"/>
      <c r="G15" s="110"/>
      <c r="H15" s="222"/>
      <c r="I15" s="222"/>
      <c r="J15" s="222"/>
      <c r="K15" s="222"/>
      <c r="L15" s="58"/>
      <c r="M15" s="223"/>
      <c r="N15" s="59"/>
      <c r="O15" s="224"/>
      <c r="P15" s="56"/>
    </row>
    <row r="16" spans="1:16" ht="12.75">
      <c r="A16" s="227" t="s">
        <v>308</v>
      </c>
      <c r="B16" s="222">
        <f>('Crop Data'!B16+'Crop Data'!C16+'Crop Data'!D16+'Crop Data'!E16+'Crop Data'!F16)*'Crop Data'!M16</f>
        <v>184393.33333333334</v>
      </c>
      <c r="C16" s="226">
        <f>('Crop Data'!G16*'Crop Data'!L16*'Crop Data'!M16*'Crop Data'!H16)</f>
        <v>120000</v>
      </c>
      <c r="D16" s="222">
        <f>('Crop Data'!I16*'Crop Data'!J16*'Crop Data'!K16)*'Crop Data'!M16</f>
        <v>51520.00000000001</v>
      </c>
      <c r="E16" s="222">
        <f t="shared" si="0"/>
        <v>355913.3333333334</v>
      </c>
      <c r="F16" s="110">
        <v>0</v>
      </c>
      <c r="G16" s="110">
        <v>0</v>
      </c>
      <c r="H16" s="222">
        <f t="shared" si="1"/>
        <v>355913.3333333334</v>
      </c>
      <c r="I16" s="222">
        <f t="shared" si="2"/>
        <v>4288.112449799197</v>
      </c>
      <c r="J16" s="222">
        <f>'Crop Data'!O16*$A$5*'Crop Data'!P16</f>
        <v>634900</v>
      </c>
      <c r="K16" s="222">
        <f>J16/$A$4</f>
        <v>7649.3975903614455</v>
      </c>
      <c r="L16" s="58">
        <f t="shared" si="3"/>
        <v>3361.2851405622487</v>
      </c>
      <c r="M16" s="223">
        <f>D16</f>
        <v>51520.00000000001</v>
      </c>
      <c r="N16" s="59">
        <f>M16/$A$4</f>
        <v>620.7228915662652</v>
      </c>
      <c r="O16" s="224">
        <f t="shared" si="4"/>
        <v>330506.6666666666</v>
      </c>
      <c r="P16" s="56">
        <f t="shared" si="5"/>
        <v>3982.0080321285136</v>
      </c>
    </row>
    <row r="17" spans="1:16" ht="12.75">
      <c r="A17" s="228" t="s">
        <v>301</v>
      </c>
      <c r="B17" s="226">
        <f>B16</f>
        <v>184393.33333333334</v>
      </c>
      <c r="C17" s="226">
        <f>('Crop Data'!G16*'Crop Data'!L16*'Crop Data'!M16*'Crop Data'!H17)</f>
        <v>336000</v>
      </c>
      <c r="D17" s="226">
        <f>D16</f>
        <v>51520.00000000001</v>
      </c>
      <c r="E17" s="226">
        <f>B17+C17+D17</f>
        <v>571913.3333333334</v>
      </c>
      <c r="F17" s="226">
        <f>F16</f>
        <v>0</v>
      </c>
      <c r="G17" s="226">
        <f>G16</f>
        <v>0</v>
      </c>
      <c r="H17" s="226">
        <f>E17+F17+G17</f>
        <v>571913.3333333334</v>
      </c>
      <c r="I17" s="226">
        <f t="shared" si="2"/>
        <v>6890.522088353414</v>
      </c>
      <c r="J17" s="226">
        <f>J16</f>
        <v>634900</v>
      </c>
      <c r="K17" s="222">
        <f>J17/$A$4</f>
        <v>7649.3975903614455</v>
      </c>
      <c r="L17" s="58">
        <f>K17-I17</f>
        <v>758.8755020080316</v>
      </c>
      <c r="M17" s="223">
        <f>D17</f>
        <v>51520.00000000001</v>
      </c>
      <c r="N17" s="59">
        <f>M17/$A$4</f>
        <v>620.7228915662652</v>
      </c>
      <c r="O17" s="229">
        <f>J17-H17+M17</f>
        <v>114506.66666666663</v>
      </c>
      <c r="P17" s="56">
        <f t="shared" si="5"/>
        <v>1379.5983935742968</v>
      </c>
    </row>
    <row r="18" spans="1:16" ht="13.5" customHeight="1">
      <c r="A18" s="227" t="s">
        <v>309</v>
      </c>
      <c r="B18" s="222">
        <f>('Crop Data'!B18+'Crop Data'!C18+'Crop Data'!D18+'Crop Data'!E18+'Crop Data'!F18)*'Crop Data'!M18</f>
        <v>342850</v>
      </c>
      <c r="C18" s="226">
        <f>('Crop Data'!G18*'Crop Data'!L18*'Crop Data'!M18*'Crop Data'!H18)</f>
        <v>56250</v>
      </c>
      <c r="D18" s="222">
        <f>('Crop Data'!I18*'Crop Data'!J18*'Crop Data'!K18)*'Crop Data'!M18</f>
        <v>46000</v>
      </c>
      <c r="E18" s="222">
        <f t="shared" si="0"/>
        <v>445100</v>
      </c>
      <c r="F18" s="157">
        <f>('Financial Model'!$D$30*4)*3/5</f>
        <v>11974.445156574197</v>
      </c>
      <c r="G18" s="230">
        <f>(6000*$A$4)/5</f>
        <v>99600</v>
      </c>
      <c r="H18" s="222">
        <f t="shared" si="1"/>
        <v>556674.4451565742</v>
      </c>
      <c r="I18" s="222">
        <f t="shared" si="2"/>
        <v>6706.921025982822</v>
      </c>
      <c r="J18" s="222">
        <f>'Crop Data'!O18*$A$5*'Crop Data'!P18</f>
        <v>1904700</v>
      </c>
      <c r="K18" s="222">
        <f>J18/$A$4</f>
        <v>22948.192771084337</v>
      </c>
      <c r="L18" s="58">
        <f t="shared" si="3"/>
        <v>16241.271745101516</v>
      </c>
      <c r="M18" s="223">
        <f>D18</f>
        <v>46000</v>
      </c>
      <c r="N18" s="59">
        <f>M18/$A$4</f>
        <v>554.2168674698795</v>
      </c>
      <c r="O18" s="224">
        <f>J18-H18+M18</f>
        <v>1394025.5548434258</v>
      </c>
      <c r="P18" s="56">
        <f t="shared" si="5"/>
        <v>16795.488612571393</v>
      </c>
    </row>
    <row r="19" spans="1:16" ht="12.75">
      <c r="A19" s="228" t="s">
        <v>251</v>
      </c>
      <c r="B19" s="226">
        <f>B18</f>
        <v>342850</v>
      </c>
      <c r="C19" s="226">
        <f>('Crop Data'!G18*'Crop Data'!L18*'Crop Data'!M18*'Crop Data'!H19)</f>
        <v>187500</v>
      </c>
      <c r="D19" s="226">
        <f aca="true" t="shared" si="6" ref="D19:N20">D18</f>
        <v>46000</v>
      </c>
      <c r="E19" s="226">
        <f t="shared" si="0"/>
        <v>576350</v>
      </c>
      <c r="F19" s="226">
        <f t="shared" si="6"/>
        <v>11974.445156574197</v>
      </c>
      <c r="G19" s="226">
        <f t="shared" si="6"/>
        <v>99600</v>
      </c>
      <c r="H19" s="226">
        <f t="shared" si="1"/>
        <v>687924.4451565742</v>
      </c>
      <c r="I19" s="226">
        <f t="shared" si="2"/>
        <v>8288.246327187642</v>
      </c>
      <c r="J19" s="226">
        <f t="shared" si="6"/>
        <v>1904700</v>
      </c>
      <c r="K19" s="226">
        <f t="shared" si="6"/>
        <v>22948.192771084337</v>
      </c>
      <c r="L19" s="58">
        <f t="shared" si="3"/>
        <v>14659.946443896695</v>
      </c>
      <c r="M19" s="72">
        <f t="shared" si="6"/>
        <v>46000</v>
      </c>
      <c r="N19" s="59">
        <f t="shared" si="6"/>
        <v>554.2168674698795</v>
      </c>
      <c r="O19" s="229">
        <f>J19-H19+M19</f>
        <v>1262775.5548434258</v>
      </c>
      <c r="P19" s="56">
        <f t="shared" si="5"/>
        <v>15214.163311366576</v>
      </c>
    </row>
    <row r="20" spans="1:16" ht="12.75">
      <c r="A20" s="228" t="s">
        <v>301</v>
      </c>
      <c r="B20" s="226">
        <f>B19</f>
        <v>342850</v>
      </c>
      <c r="C20" s="226">
        <f>('Crop Data'!G18*'Crop Data'!L18*'Crop Data'!M18*'Crop Data'!H20)</f>
        <v>157500</v>
      </c>
      <c r="D20" s="226">
        <f>D19</f>
        <v>46000</v>
      </c>
      <c r="E20" s="226">
        <f t="shared" si="0"/>
        <v>546350</v>
      </c>
      <c r="F20" s="226">
        <f t="shared" si="6"/>
        <v>11974.445156574197</v>
      </c>
      <c r="G20" s="226">
        <f t="shared" si="6"/>
        <v>99600</v>
      </c>
      <c r="H20" s="226">
        <f t="shared" si="1"/>
        <v>657924.4451565742</v>
      </c>
      <c r="I20" s="226">
        <f t="shared" si="2"/>
        <v>7926.8005440551115</v>
      </c>
      <c r="J20" s="226">
        <f t="shared" si="6"/>
        <v>1904700</v>
      </c>
      <c r="K20" s="226">
        <f t="shared" si="6"/>
        <v>22948.192771084337</v>
      </c>
      <c r="L20" s="58">
        <f t="shared" si="3"/>
        <v>15021.392227029226</v>
      </c>
      <c r="M20" s="72">
        <f t="shared" si="6"/>
        <v>46000</v>
      </c>
      <c r="N20" s="59">
        <f t="shared" si="6"/>
        <v>554.2168674698795</v>
      </c>
      <c r="O20" s="229">
        <f t="shared" si="4"/>
        <v>1292775.5548434258</v>
      </c>
      <c r="P20" s="56">
        <f t="shared" si="5"/>
        <v>15575.609094499105</v>
      </c>
    </row>
    <row r="21" spans="1:16" ht="12.75">
      <c r="A21" s="200"/>
      <c r="B21" s="222"/>
      <c r="C21" s="226"/>
      <c r="D21" s="222"/>
      <c r="E21" s="222"/>
      <c r="F21" s="110"/>
      <c r="G21" s="110"/>
      <c r="H21" s="222"/>
      <c r="I21" s="222"/>
      <c r="J21" s="222"/>
      <c r="K21" s="222"/>
      <c r="L21" s="58"/>
      <c r="M21" s="223"/>
      <c r="N21" s="59"/>
      <c r="O21" s="224"/>
      <c r="P21" s="56"/>
    </row>
    <row r="22" spans="1:16" ht="25.5">
      <c r="A22" s="66" t="s">
        <v>38</v>
      </c>
      <c r="B22" s="222"/>
      <c r="C22" s="226"/>
      <c r="D22" s="222"/>
      <c r="E22" s="222"/>
      <c r="F22" s="110"/>
      <c r="G22" s="110"/>
      <c r="H22" s="222"/>
      <c r="I22" s="222"/>
      <c r="J22" s="222"/>
      <c r="K22" s="222"/>
      <c r="L22" s="58"/>
      <c r="M22" s="223"/>
      <c r="N22" s="59"/>
      <c r="O22" s="224"/>
      <c r="P22" s="56"/>
    </row>
    <row r="23" spans="1:16" ht="12.75">
      <c r="A23" s="227" t="s">
        <v>0</v>
      </c>
      <c r="B23" s="222">
        <f>('Crop Data'!B23+'Crop Data'!C23+'Crop Data'!D23+'Crop Data'!E23+'Crop Data'!F23)*'Crop Data'!M23</f>
        <v>231950</v>
      </c>
      <c r="C23" s="226">
        <f>'Crop Data'!G23*'Crop Data'!L23*'Crop Data'!M23*'Crop Data'!H23</f>
        <v>319375</v>
      </c>
      <c r="D23" s="222">
        <f>'Crop Data'!I23*'Crop Data'!J23*'Crop Data'!K23</f>
        <v>72680</v>
      </c>
      <c r="E23" s="222">
        <f t="shared" si="0"/>
        <v>624005</v>
      </c>
      <c r="F23" s="110">
        <v>0</v>
      </c>
      <c r="G23" s="110">
        <v>0</v>
      </c>
      <c r="H23" s="222">
        <f t="shared" si="1"/>
        <v>624005</v>
      </c>
      <c r="I23" s="222">
        <f t="shared" si="2"/>
        <v>7518.1325301204815</v>
      </c>
      <c r="J23" s="222">
        <f>'Crop Data'!O23*A5*'Crop Data'!P23</f>
        <v>907000</v>
      </c>
      <c r="K23" s="222">
        <f>J23/$A$4</f>
        <v>10927.710843373494</v>
      </c>
      <c r="L23" s="58">
        <f t="shared" si="3"/>
        <v>3409.5783132530123</v>
      </c>
      <c r="M23" s="223">
        <f>D23</f>
        <v>72680</v>
      </c>
      <c r="N23" s="59">
        <f>M23/$A$4</f>
        <v>875.6626506024096</v>
      </c>
      <c r="O23" s="224">
        <f t="shared" si="4"/>
        <v>355675</v>
      </c>
      <c r="P23" s="56">
        <f t="shared" si="5"/>
        <v>4285.240963855422</v>
      </c>
    </row>
    <row r="24" spans="1:16" ht="12.75">
      <c r="A24" s="227" t="s">
        <v>1</v>
      </c>
      <c r="B24" s="222">
        <f>('Crop Data'!B24+'Crop Data'!C24+'Crop Data'!D24+'Crop Data'!E24+'Crop Data'!F24)*'Crop Data'!M24</f>
        <v>325500</v>
      </c>
      <c r="C24" s="226">
        <f>'Crop Data'!G24*'Crop Data'!L24*'Crop Data'!M24*'Crop Data'!H24</f>
        <v>164250</v>
      </c>
      <c r="D24" s="226">
        <f>'Crop Data'!I24*'Crop Data'!J24*'Crop Data'!K24</f>
        <v>72680</v>
      </c>
      <c r="E24" s="226">
        <f t="shared" si="0"/>
        <v>562430</v>
      </c>
      <c r="F24" s="107">
        <f>('Financial Model'!$D$30*4)*3/5</f>
        <v>11974.445156574197</v>
      </c>
      <c r="G24" s="47">
        <f>(6000*$A$4)/5</f>
        <v>99600</v>
      </c>
      <c r="H24" s="226">
        <f t="shared" si="1"/>
        <v>674004.4451565742</v>
      </c>
      <c r="I24" s="226">
        <f t="shared" si="2"/>
        <v>8120.5354838141475</v>
      </c>
      <c r="J24" s="226">
        <f>'Crop Data'!O24*A5*'Crop Data'!P24</f>
        <v>1814000</v>
      </c>
      <c r="K24" s="226">
        <f>J24/$A$4</f>
        <v>21855.421686746988</v>
      </c>
      <c r="L24" s="58">
        <f t="shared" si="3"/>
        <v>13734.886202932841</v>
      </c>
      <c r="M24" s="72">
        <f>D24</f>
        <v>72680</v>
      </c>
      <c r="N24" s="59">
        <f>M24/$A$4</f>
        <v>875.6626506024096</v>
      </c>
      <c r="O24" s="229">
        <f t="shared" si="4"/>
        <v>1212675.5548434258</v>
      </c>
      <c r="P24" s="56">
        <f t="shared" si="5"/>
        <v>14610.54885353525</v>
      </c>
    </row>
    <row r="25" spans="1:16" ht="12.75">
      <c r="A25" s="228" t="s">
        <v>251</v>
      </c>
      <c r="B25" s="226">
        <f>B24</f>
        <v>325500</v>
      </c>
      <c r="C25" s="226">
        <f>'Crop Data'!G24*'Crop Data'!L24*'Crop Data'!M24*'Crop Data'!H25</f>
        <v>547500</v>
      </c>
      <c r="D25" s="226">
        <f>D24</f>
        <v>72680</v>
      </c>
      <c r="E25" s="226">
        <f t="shared" si="0"/>
        <v>945680</v>
      </c>
      <c r="F25" s="226">
        <f>F24</f>
        <v>11974.445156574197</v>
      </c>
      <c r="G25" s="226">
        <f>G24</f>
        <v>99600</v>
      </c>
      <c r="H25" s="226">
        <f t="shared" si="1"/>
        <v>1057254.4451565742</v>
      </c>
      <c r="I25" s="226">
        <f t="shared" si="2"/>
        <v>12738.00536333222</v>
      </c>
      <c r="J25" s="226">
        <f>J24</f>
        <v>1814000</v>
      </c>
      <c r="K25" s="226">
        <f>K24</f>
        <v>21855.421686746988</v>
      </c>
      <c r="L25" s="58">
        <f t="shared" si="3"/>
        <v>9117.416323414767</v>
      </c>
      <c r="M25" s="72">
        <f>M24</f>
        <v>72680</v>
      </c>
      <c r="N25" s="59">
        <f>N24</f>
        <v>875.6626506024096</v>
      </c>
      <c r="O25" s="229">
        <f t="shared" si="4"/>
        <v>829425.5548434258</v>
      </c>
      <c r="P25" s="56">
        <f t="shared" si="5"/>
        <v>9993.078974017179</v>
      </c>
    </row>
    <row r="26" spans="1:16" ht="12.75">
      <c r="A26" s="231" t="s">
        <v>301</v>
      </c>
      <c r="B26" s="232">
        <f>B25</f>
        <v>325500</v>
      </c>
      <c r="C26" s="232">
        <f>'Crop Data'!G24*'Crop Data'!L24*'Crop Data'!M24*'Crop Data'!H26</f>
        <v>459900</v>
      </c>
      <c r="D26" s="232">
        <f>D25</f>
        <v>72680</v>
      </c>
      <c r="E26" s="232">
        <f>B26+C26+D26</f>
        <v>858080</v>
      </c>
      <c r="F26" s="232">
        <f>F25</f>
        <v>11974.445156574197</v>
      </c>
      <c r="G26" s="232">
        <f>G25</f>
        <v>99600</v>
      </c>
      <c r="H26" s="232">
        <f>E26+F26+G26</f>
        <v>969654.4451565742</v>
      </c>
      <c r="I26" s="232">
        <f t="shared" si="2"/>
        <v>11682.583676585233</v>
      </c>
      <c r="J26" s="232">
        <f>J25</f>
        <v>1814000</v>
      </c>
      <c r="K26" s="232">
        <f>K25</f>
        <v>21855.421686746988</v>
      </c>
      <c r="L26" s="5">
        <f>K26-I26</f>
        <v>10172.838010161755</v>
      </c>
      <c r="M26" s="233">
        <f>M25</f>
        <v>72680</v>
      </c>
      <c r="N26" s="60">
        <f>N25</f>
        <v>875.6626506024096</v>
      </c>
      <c r="O26" s="234">
        <f>J26-H26+M26</f>
        <v>917025.5548434258</v>
      </c>
      <c r="P26" s="57">
        <f t="shared" si="5"/>
        <v>11048.500660764166</v>
      </c>
    </row>
    <row r="27" spans="3:6" ht="12.75">
      <c r="C27" s="93"/>
      <c r="F27" s="168"/>
    </row>
    <row r="28" spans="3:14" ht="12.75">
      <c r="C28" s="93"/>
      <c r="N28" s="168"/>
    </row>
    <row r="29" ht="12.75">
      <c r="N29" s="168"/>
    </row>
  </sheetData>
  <mergeCells count="1">
    <mergeCell ref="A2:F2"/>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5" footer="0.5"/>
  <pageSetup fitToHeight="1" fitToWidth="1" horizontalDpi="600" verticalDpi="600" orientation="landscape" scale="66" r:id="rId2"/>
  <headerFooter alignWithMargins="0">
    <oddFooter>&amp;L&amp;G&amp;R&amp;P / &amp;N</oddFooter>
  </headerFooter>
  <ignoredErrors>
    <ignoredError sqref="O17:O18 O16 O12:O13 O23:O24 J16:J18 J12:J13 J23:J24 F18:G18 L19:L20 B18 C19:C20 C17 D18 E17 E19:E20 C25:C26 E25:E26 L25:L26" formula="1"/>
  </ignoredErrors>
  <legacyDrawingHF r:id="rId1"/>
</worksheet>
</file>

<file path=xl/worksheets/sheet13.xml><?xml version="1.0" encoding="utf-8"?>
<worksheet xmlns="http://schemas.openxmlformats.org/spreadsheetml/2006/main" xmlns:r="http://schemas.openxmlformats.org/officeDocument/2006/relationships">
  <sheetPr codeName="Sheet11">
    <pageSetUpPr fitToPage="1"/>
  </sheetPr>
  <dimension ref="A1:O55"/>
  <sheetViews>
    <sheetView workbookViewId="0" topLeftCell="A1">
      <selection activeCell="G2" sqref="G2"/>
    </sheetView>
  </sheetViews>
  <sheetFormatPr defaultColWidth="9.140625" defaultRowHeight="12.75"/>
  <cols>
    <col min="1" max="1" width="28.00390625" style="3" bestFit="1" customWidth="1"/>
    <col min="2" max="2" width="19.28125" style="3" customWidth="1"/>
    <col min="3" max="3" width="12.8515625" style="3" customWidth="1"/>
    <col min="4" max="4" width="13.421875" style="3" bestFit="1" customWidth="1"/>
    <col min="5" max="5" width="12.421875" style="3" customWidth="1"/>
    <col min="6" max="6" width="12.7109375" style="3" customWidth="1"/>
    <col min="7" max="7" width="11.57421875" style="3" customWidth="1"/>
    <col min="8" max="10" width="10.7109375" style="3" customWidth="1"/>
    <col min="11" max="11" width="11.57421875" style="3" customWidth="1"/>
    <col min="12" max="14" width="10.7109375" style="3" customWidth="1"/>
    <col min="15" max="16384" width="9.140625" style="3" customWidth="1"/>
  </cols>
  <sheetData>
    <row r="1" ht="20.25">
      <c r="A1" s="86" t="s">
        <v>318</v>
      </c>
    </row>
    <row r="2" spans="1:6" ht="12.75">
      <c r="A2" s="371">
        <f>IF('ERR &amp; Sensitivity Analysis'!$I$10="N","Note: Current calculations are based on user input and are not the original MCC estimates.",IF('ERR &amp; Sensitivity Analysis'!$I$11="N","Note: Current calculations are based on user input and are not the original MCC estimates.",0))</f>
        <v>0</v>
      </c>
      <c r="B2" s="371"/>
      <c r="C2" s="371"/>
      <c r="D2" s="371"/>
      <c r="E2" s="371"/>
      <c r="F2" s="371"/>
    </row>
    <row r="3" ht="18">
      <c r="A3" s="88" t="s">
        <v>110</v>
      </c>
    </row>
    <row r="5" ht="12.75">
      <c r="B5" s="7" t="s">
        <v>106</v>
      </c>
    </row>
    <row r="6" spans="1:2" ht="12.75">
      <c r="A6" s="2" t="s">
        <v>104</v>
      </c>
      <c r="B6" s="7" t="s">
        <v>107</v>
      </c>
    </row>
    <row r="7" spans="1:9" ht="13.5" thickBot="1">
      <c r="A7" s="96" t="s">
        <v>83</v>
      </c>
      <c r="B7" s="256">
        <v>1</v>
      </c>
      <c r="C7" s="2" t="str">
        <f>VLOOKUP(B7,A45:B47,2)</f>
        <v>Cabbage</v>
      </c>
      <c r="H7" s="399" t="s">
        <v>105</v>
      </c>
      <c r="I7" s="400"/>
    </row>
    <row r="8" spans="1:10" ht="12.75">
      <c r="A8" s="96" t="s">
        <v>82</v>
      </c>
      <c r="B8" s="3">
        <f>'ERR &amp; Sensitivity Analysis'!D13</f>
        <v>83</v>
      </c>
      <c r="C8" s="9" t="s">
        <v>342</v>
      </c>
      <c r="G8" s="235">
        <v>1</v>
      </c>
      <c r="H8" s="403" t="s">
        <v>75</v>
      </c>
      <c r="I8" s="404"/>
      <c r="J8" s="405"/>
    </row>
    <row r="9" spans="1:10" ht="12.75">
      <c r="A9" s="96" t="s">
        <v>78</v>
      </c>
      <c r="B9" s="236">
        <v>4250</v>
      </c>
      <c r="C9" s="3" t="s">
        <v>79</v>
      </c>
      <c r="G9" s="237">
        <v>2</v>
      </c>
      <c r="H9" s="406" t="s">
        <v>76</v>
      </c>
      <c r="I9" s="406"/>
      <c r="J9" s="406"/>
    </row>
    <row r="10" spans="1:10" ht="13.5" thickBot="1">
      <c r="A10" s="96" t="s">
        <v>80</v>
      </c>
      <c r="B10" s="236">
        <v>1750</v>
      </c>
      <c r="C10" s="3" t="s">
        <v>79</v>
      </c>
      <c r="G10" s="238">
        <v>3</v>
      </c>
      <c r="H10" s="407" t="s">
        <v>77</v>
      </c>
      <c r="I10" s="407"/>
      <c r="J10" s="407"/>
    </row>
    <row r="11" spans="1:12" ht="12.75">
      <c r="A11" s="96" t="s">
        <v>85</v>
      </c>
      <c r="B11" s="9">
        <f>D11*B8</f>
        <v>52912.5</v>
      </c>
      <c r="C11" s="9" t="s">
        <v>81</v>
      </c>
      <c r="D11" s="239">
        <f>B9*C18</f>
        <v>637.5</v>
      </c>
      <c r="E11" s="3" t="s">
        <v>79</v>
      </c>
      <c r="K11" s="9"/>
      <c r="L11" s="239"/>
    </row>
    <row r="12" spans="1:12" ht="12.75">
      <c r="A12" s="96" t="s">
        <v>86</v>
      </c>
      <c r="B12" s="9">
        <f>D12*B8</f>
        <v>21787.5</v>
      </c>
      <c r="C12" s="9" t="s">
        <v>81</v>
      </c>
      <c r="D12" s="239">
        <f>B10*C18</f>
        <v>262.5</v>
      </c>
      <c r="E12" s="3" t="s">
        <v>79</v>
      </c>
      <c r="K12" s="9"/>
      <c r="L12" s="239"/>
    </row>
    <row r="13" spans="1:12" ht="12.75">
      <c r="A13" s="96" t="s">
        <v>111</v>
      </c>
      <c r="B13" s="240">
        <v>0.6</v>
      </c>
      <c r="C13" s="9"/>
      <c r="D13" s="239"/>
      <c r="K13" s="9"/>
      <c r="L13" s="239"/>
    </row>
    <row r="14" spans="1:3" ht="12.75">
      <c r="A14" s="99" t="s">
        <v>87</v>
      </c>
      <c r="B14" s="241">
        <f>'Ag ERR'!B10</f>
        <v>0.12</v>
      </c>
      <c r="C14" s="9" t="s">
        <v>342</v>
      </c>
    </row>
    <row r="15" spans="1:10" ht="12.75">
      <c r="A15" s="99" t="s">
        <v>109</v>
      </c>
      <c r="B15" s="242">
        <v>0</v>
      </c>
      <c r="G15" s="243"/>
      <c r="H15" s="243"/>
      <c r="I15" s="243"/>
      <c r="J15" s="243"/>
    </row>
    <row r="16" spans="1:10" ht="12.75">
      <c r="A16" s="99" t="s">
        <v>117</v>
      </c>
      <c r="B16" s="242">
        <f>'Ag ERR'!B13</f>
        <v>0.02</v>
      </c>
      <c r="G16" s="243"/>
      <c r="H16" s="243"/>
      <c r="I16" s="243"/>
      <c r="J16" s="243"/>
    </row>
    <row r="17" spans="1:2" ht="12.75">
      <c r="A17" s="99" t="s">
        <v>66</v>
      </c>
      <c r="B17" s="244">
        <v>0</v>
      </c>
    </row>
    <row r="18" spans="1:4" ht="12.75" customHeight="1">
      <c r="A18" s="99" t="s">
        <v>89</v>
      </c>
      <c r="B18" s="245">
        <v>1500</v>
      </c>
      <c r="C18" s="3">
        <f>B18/10000</f>
        <v>0.15</v>
      </c>
      <c r="D18" s="3" t="s">
        <v>90</v>
      </c>
    </row>
    <row r="19" spans="1:3" ht="12.75">
      <c r="A19" s="99" t="s">
        <v>88</v>
      </c>
      <c r="B19" s="245">
        <v>12</v>
      </c>
      <c r="C19" s="3" t="s">
        <v>91</v>
      </c>
    </row>
    <row r="21" spans="1:2" ht="12.75">
      <c r="A21" s="99" t="s">
        <v>118</v>
      </c>
      <c r="B21" s="9">
        <f>(PMT($B$14/4,$B$19-1,$C$33))*-1</f>
        <v>4989.352148572582</v>
      </c>
    </row>
    <row r="22" spans="3:14" ht="12.75">
      <c r="C22" s="401" t="s">
        <v>61</v>
      </c>
      <c r="D22" s="402"/>
      <c r="E22" s="402"/>
      <c r="F22" s="396"/>
      <c r="G22" s="401" t="s">
        <v>62</v>
      </c>
      <c r="H22" s="402"/>
      <c r="I22" s="402"/>
      <c r="J22" s="396"/>
      <c r="K22" s="401" t="s">
        <v>63</v>
      </c>
      <c r="L22" s="402"/>
      <c r="M22" s="402"/>
      <c r="N22" s="396"/>
    </row>
    <row r="23" spans="2:14" ht="12.75">
      <c r="B23" s="246"/>
      <c r="C23" s="247" t="s">
        <v>92</v>
      </c>
      <c r="D23" s="248" t="s">
        <v>93</v>
      </c>
      <c r="E23" s="248" t="s">
        <v>94</v>
      </c>
      <c r="F23" s="249" t="s">
        <v>95</v>
      </c>
      <c r="G23" s="247" t="s">
        <v>96</v>
      </c>
      <c r="H23" s="248" t="s">
        <v>97</v>
      </c>
      <c r="I23" s="248" t="s">
        <v>98</v>
      </c>
      <c r="J23" s="249" t="s">
        <v>99</v>
      </c>
      <c r="K23" s="247" t="s">
        <v>100</v>
      </c>
      <c r="L23" s="248" t="s">
        <v>101</v>
      </c>
      <c r="M23" s="248" t="s">
        <v>102</v>
      </c>
      <c r="N23" s="249" t="s">
        <v>103</v>
      </c>
    </row>
    <row r="24" spans="1:14" ht="12.75">
      <c r="A24" s="183" t="s">
        <v>112</v>
      </c>
      <c r="B24" s="103"/>
      <c r="C24" s="72">
        <f>(VLOOKUP($B$7,'Data Matrix'!$A$4:$D$6,3)*$C$18)/4</f>
        <v>71426.25</v>
      </c>
      <c r="D24" s="226">
        <f>C24*(1+($B$16)/4)</f>
        <v>71783.38124999999</v>
      </c>
      <c r="E24" s="226">
        <f aca="true" t="shared" si="0" ref="E24:N24">D24*(1+($B$16)/4)</f>
        <v>72142.29815624998</v>
      </c>
      <c r="F24" s="229">
        <f t="shared" si="0"/>
        <v>72503.00964703121</v>
      </c>
      <c r="G24" s="226">
        <f t="shared" si="0"/>
        <v>72865.52469526636</v>
      </c>
      <c r="H24" s="226">
        <f t="shared" si="0"/>
        <v>73229.85231874268</v>
      </c>
      <c r="I24" s="226">
        <f t="shared" si="0"/>
        <v>73596.00158033638</v>
      </c>
      <c r="J24" s="229">
        <f t="shared" si="0"/>
        <v>73963.98158823805</v>
      </c>
      <c r="K24" s="226">
        <f t="shared" si="0"/>
        <v>74333.80149617924</v>
      </c>
      <c r="L24" s="226">
        <f t="shared" si="0"/>
        <v>74705.47050366012</v>
      </c>
      <c r="M24" s="226">
        <f t="shared" si="0"/>
        <v>75078.99785617841</v>
      </c>
      <c r="N24" s="229">
        <f t="shared" si="0"/>
        <v>75454.3928454593</v>
      </c>
    </row>
    <row r="25" spans="1:14" ht="12.75">
      <c r="A25" s="49" t="s">
        <v>66</v>
      </c>
      <c r="B25" s="93"/>
      <c r="C25" s="72">
        <f>C24*$B$17</f>
        <v>0</v>
      </c>
      <c r="D25" s="226">
        <f aca="true" t="shared" si="1" ref="D25:N25">D24*$B$17</f>
        <v>0</v>
      </c>
      <c r="E25" s="226">
        <f t="shared" si="1"/>
        <v>0</v>
      </c>
      <c r="F25" s="229">
        <f t="shared" si="1"/>
        <v>0</v>
      </c>
      <c r="G25" s="226">
        <f t="shared" si="1"/>
        <v>0</v>
      </c>
      <c r="H25" s="226">
        <f t="shared" si="1"/>
        <v>0</v>
      </c>
      <c r="I25" s="226">
        <f t="shared" si="1"/>
        <v>0</v>
      </c>
      <c r="J25" s="229">
        <f t="shared" si="1"/>
        <v>0</v>
      </c>
      <c r="K25" s="226">
        <f t="shared" si="1"/>
        <v>0</v>
      </c>
      <c r="L25" s="226">
        <f t="shared" si="1"/>
        <v>0</v>
      </c>
      <c r="M25" s="226">
        <f t="shared" si="1"/>
        <v>0</v>
      </c>
      <c r="N25" s="229">
        <f t="shared" si="1"/>
        <v>0</v>
      </c>
    </row>
    <row r="26" spans="1:14" s="2" customFormat="1" ht="12.75">
      <c r="A26" s="33" t="s">
        <v>67</v>
      </c>
      <c r="B26" s="68"/>
      <c r="C26" s="69">
        <f>C24-C25</f>
        <v>71426.25</v>
      </c>
      <c r="D26" s="70">
        <f>D24-D25</f>
        <v>71783.38124999999</v>
      </c>
      <c r="E26" s="70">
        <f>E24-E25</f>
        <v>72142.29815624998</v>
      </c>
      <c r="F26" s="71">
        <f>F24-F25</f>
        <v>72503.00964703121</v>
      </c>
      <c r="G26" s="70">
        <f>G24-G25</f>
        <v>72865.52469526636</v>
      </c>
      <c r="H26" s="70">
        <f aca="true" t="shared" si="2" ref="H26:N26">H24-H25</f>
        <v>73229.85231874268</v>
      </c>
      <c r="I26" s="70">
        <f t="shared" si="2"/>
        <v>73596.00158033638</v>
      </c>
      <c r="J26" s="71">
        <f t="shared" si="2"/>
        <v>73963.98158823805</v>
      </c>
      <c r="K26" s="70">
        <f t="shared" si="2"/>
        <v>74333.80149617924</v>
      </c>
      <c r="L26" s="70">
        <f t="shared" si="2"/>
        <v>74705.47050366012</v>
      </c>
      <c r="M26" s="70">
        <f t="shared" si="2"/>
        <v>75078.99785617841</v>
      </c>
      <c r="N26" s="71">
        <f t="shared" si="2"/>
        <v>75454.3928454593</v>
      </c>
    </row>
    <row r="27" spans="1:14" ht="12.75">
      <c r="A27" s="49" t="s">
        <v>113</v>
      </c>
      <c r="B27" s="47"/>
      <c r="C27" s="72">
        <f>(VLOOKUP($B$7,'Data Matrix'!$A$4:$D$6,4)*$C$18)/4</f>
        <v>16691.25</v>
      </c>
      <c r="D27" s="226">
        <f>C27*(1+($B$16)/4)</f>
        <v>16774.70625</v>
      </c>
      <c r="E27" s="226">
        <f aca="true" t="shared" si="3" ref="E27:N27">D27*(1+($B$16)/4)</f>
        <v>16858.57978125</v>
      </c>
      <c r="F27" s="234">
        <f t="shared" si="3"/>
        <v>16942.872680156248</v>
      </c>
      <c r="G27" s="226">
        <f t="shared" si="3"/>
        <v>17027.58704355703</v>
      </c>
      <c r="H27" s="226">
        <f t="shared" si="3"/>
        <v>17112.72497877481</v>
      </c>
      <c r="I27" s="226">
        <f t="shared" si="3"/>
        <v>17198.288603668683</v>
      </c>
      <c r="J27" s="234">
        <f t="shared" si="3"/>
        <v>17284.280046687025</v>
      </c>
      <c r="K27" s="226">
        <f t="shared" si="3"/>
        <v>17370.70144692046</v>
      </c>
      <c r="L27" s="226">
        <f t="shared" si="3"/>
        <v>17457.55495415506</v>
      </c>
      <c r="M27" s="226">
        <f t="shared" si="3"/>
        <v>17544.842728925832</v>
      </c>
      <c r="N27" s="234">
        <f t="shared" si="3"/>
        <v>17632.56694257046</v>
      </c>
    </row>
    <row r="28" spans="1:14" s="2" customFormat="1" ht="12.75">
      <c r="A28" s="33" t="s">
        <v>68</v>
      </c>
      <c r="B28" s="68"/>
      <c r="C28" s="69">
        <f>C26-C27</f>
        <v>54735</v>
      </c>
      <c r="D28" s="70">
        <f aca="true" t="shared" si="4" ref="D28:N28">D26-D27</f>
        <v>55008.67499999999</v>
      </c>
      <c r="E28" s="70">
        <f t="shared" si="4"/>
        <v>55283.71837499998</v>
      </c>
      <c r="F28" s="71">
        <f t="shared" si="4"/>
        <v>55560.13696687497</v>
      </c>
      <c r="G28" s="70">
        <f t="shared" si="4"/>
        <v>55837.93765170933</v>
      </c>
      <c r="H28" s="70">
        <f t="shared" si="4"/>
        <v>56117.12733996786</v>
      </c>
      <c r="I28" s="70">
        <f t="shared" si="4"/>
        <v>56397.712976667695</v>
      </c>
      <c r="J28" s="71">
        <f t="shared" si="4"/>
        <v>56679.701541551025</v>
      </c>
      <c r="K28" s="70">
        <f t="shared" si="4"/>
        <v>56963.10004925878</v>
      </c>
      <c r="L28" s="70">
        <f t="shared" si="4"/>
        <v>57247.915549505065</v>
      </c>
      <c r="M28" s="70">
        <f t="shared" si="4"/>
        <v>57534.155127252576</v>
      </c>
      <c r="N28" s="71">
        <f t="shared" si="4"/>
        <v>57821.82590288884</v>
      </c>
    </row>
    <row r="29" spans="1:14" ht="12.75">
      <c r="A29" s="49" t="s">
        <v>71</v>
      </c>
      <c r="B29" s="93"/>
      <c r="C29" s="72">
        <f>($B$11+$B$12)*$B$13</f>
        <v>44820</v>
      </c>
      <c r="D29" s="226">
        <f>C33</f>
        <v>46164.6</v>
      </c>
      <c r="E29" s="226">
        <f aca="true" t="shared" si="5" ref="E29:N29">D33</f>
        <v>42560.18585142741</v>
      </c>
      <c r="F29" s="229">
        <f t="shared" si="5"/>
        <v>38847.639278397655</v>
      </c>
      <c r="G29" s="226">
        <f t="shared" si="5"/>
        <v>35023.716308177005</v>
      </c>
      <c r="H29" s="226">
        <f t="shared" si="5"/>
        <v>31085.07564884973</v>
      </c>
      <c r="I29" s="226">
        <f t="shared" si="5"/>
        <v>27028.275769742642</v>
      </c>
      <c r="J29" s="250">
        <f t="shared" si="5"/>
        <v>22849.77189426234</v>
      </c>
      <c r="K29" s="251">
        <f t="shared" si="5"/>
        <v>18545.912902517626</v>
      </c>
      <c r="L29" s="251">
        <f t="shared" si="5"/>
        <v>14112.938141020571</v>
      </c>
      <c r="M29" s="251">
        <f t="shared" si="5"/>
        <v>9546.974136678607</v>
      </c>
      <c r="N29" s="250">
        <f t="shared" si="5"/>
        <v>4844.031212206383</v>
      </c>
    </row>
    <row r="30" spans="1:14" ht="12.75">
      <c r="A30" s="49" t="s">
        <v>120</v>
      </c>
      <c r="B30" s="93"/>
      <c r="C30" s="72">
        <v>0</v>
      </c>
      <c r="D30" s="226">
        <f aca="true" t="shared" si="6" ref="D30:N30">IF(C33&gt;0,$B$21,0)</f>
        <v>4989.352148572582</v>
      </c>
      <c r="E30" s="226">
        <f t="shared" si="6"/>
        <v>4989.352148572582</v>
      </c>
      <c r="F30" s="229">
        <f t="shared" si="6"/>
        <v>4989.352148572582</v>
      </c>
      <c r="G30" s="226">
        <f t="shared" si="6"/>
        <v>4989.352148572582</v>
      </c>
      <c r="H30" s="226">
        <f t="shared" si="6"/>
        <v>4989.352148572582</v>
      </c>
      <c r="I30" s="226">
        <f t="shared" si="6"/>
        <v>4989.352148572582</v>
      </c>
      <c r="J30" s="229">
        <f t="shared" si="6"/>
        <v>4989.352148572582</v>
      </c>
      <c r="K30" s="226">
        <f t="shared" si="6"/>
        <v>4989.352148572582</v>
      </c>
      <c r="L30" s="226">
        <f t="shared" si="6"/>
        <v>4989.352148572582</v>
      </c>
      <c r="M30" s="226">
        <f t="shared" si="6"/>
        <v>4989.352148572582</v>
      </c>
      <c r="N30" s="229">
        <f t="shared" si="6"/>
        <v>4989.352148572582</v>
      </c>
    </row>
    <row r="31" spans="1:14" ht="12.75">
      <c r="A31" s="49" t="s">
        <v>125</v>
      </c>
      <c r="B31" s="93"/>
      <c r="C31" s="72">
        <v>0</v>
      </c>
      <c r="D31" s="226">
        <f>IF(C33&gt;0,($B$14/4)*D29,0)</f>
        <v>1384.9379999999999</v>
      </c>
      <c r="E31" s="226">
        <f aca="true" t="shared" si="7" ref="E31:N31">IF(D33&gt;0,($B$14/4)*E29,0)</f>
        <v>1276.8055755428225</v>
      </c>
      <c r="F31" s="229">
        <f t="shared" si="7"/>
        <v>1165.4291783519295</v>
      </c>
      <c r="G31" s="226">
        <f t="shared" si="7"/>
        <v>1050.71148924531</v>
      </c>
      <c r="H31" s="226">
        <f t="shared" si="7"/>
        <v>932.5522694654919</v>
      </c>
      <c r="I31" s="226">
        <f t="shared" si="7"/>
        <v>810.8482730922792</v>
      </c>
      <c r="J31" s="229">
        <f t="shared" si="7"/>
        <v>685.4931568278702</v>
      </c>
      <c r="K31" s="226">
        <f t="shared" si="7"/>
        <v>556.3773870755288</v>
      </c>
      <c r="L31" s="226">
        <f t="shared" si="7"/>
        <v>423.3881442306171</v>
      </c>
      <c r="M31" s="226">
        <f t="shared" si="7"/>
        <v>286.4092241003582</v>
      </c>
      <c r="N31" s="229">
        <f t="shared" si="7"/>
        <v>145.3209363661915</v>
      </c>
    </row>
    <row r="32" spans="1:14" ht="12.75">
      <c r="A32" s="49" t="s">
        <v>119</v>
      </c>
      <c r="B32" s="93"/>
      <c r="C32" s="72">
        <v>0</v>
      </c>
      <c r="D32" s="226">
        <f>IF(C33&gt;0,D30-D31,0)</f>
        <v>3604.4141485725822</v>
      </c>
      <c r="E32" s="226">
        <f aca="true" t="shared" si="8" ref="E32:N32">IF(D33&gt;0,E30-E31,0)</f>
        <v>3712.54657302976</v>
      </c>
      <c r="F32" s="229">
        <f t="shared" si="8"/>
        <v>3823.922970220653</v>
      </c>
      <c r="G32" s="226">
        <f t="shared" si="8"/>
        <v>3938.6406593272723</v>
      </c>
      <c r="H32" s="226">
        <f t="shared" si="8"/>
        <v>4056.7998791070904</v>
      </c>
      <c r="I32" s="226">
        <f t="shared" si="8"/>
        <v>4178.503875480303</v>
      </c>
      <c r="J32" s="229">
        <f t="shared" si="8"/>
        <v>4303.8589917447125</v>
      </c>
      <c r="K32" s="226">
        <f t="shared" si="8"/>
        <v>4432.974761497054</v>
      </c>
      <c r="L32" s="226">
        <f t="shared" si="8"/>
        <v>4565.964004341965</v>
      </c>
      <c r="M32" s="226">
        <f t="shared" si="8"/>
        <v>4702.942924472224</v>
      </c>
      <c r="N32" s="229">
        <f t="shared" si="8"/>
        <v>4844.031212206391</v>
      </c>
    </row>
    <row r="33" spans="1:14" ht="12.75">
      <c r="A33" s="49" t="s">
        <v>72</v>
      </c>
      <c r="B33" s="93"/>
      <c r="C33" s="72">
        <f>((C29*($B$14/4))+C29)</f>
        <v>46164.6</v>
      </c>
      <c r="D33" s="226">
        <f>D29-D32</f>
        <v>42560.18585142741</v>
      </c>
      <c r="E33" s="226">
        <f aca="true" t="shared" si="9" ref="E33:N33">E29-E32</f>
        <v>38847.639278397655</v>
      </c>
      <c r="F33" s="229">
        <f t="shared" si="9"/>
        <v>35023.716308177005</v>
      </c>
      <c r="G33" s="226">
        <f t="shared" si="9"/>
        <v>31085.07564884973</v>
      </c>
      <c r="H33" s="226">
        <f t="shared" si="9"/>
        <v>27028.275769742642</v>
      </c>
      <c r="I33" s="251">
        <f t="shared" si="9"/>
        <v>22849.77189426234</v>
      </c>
      <c r="J33" s="250">
        <f t="shared" si="9"/>
        <v>18545.912902517626</v>
      </c>
      <c r="K33" s="251">
        <f t="shared" si="9"/>
        <v>14112.938141020571</v>
      </c>
      <c r="L33" s="251">
        <f t="shared" si="9"/>
        <v>9546.974136678607</v>
      </c>
      <c r="M33" s="251">
        <f t="shared" si="9"/>
        <v>4844.031212206383</v>
      </c>
      <c r="N33" s="250">
        <f t="shared" si="9"/>
        <v>-7.275957614183426E-12</v>
      </c>
    </row>
    <row r="34" spans="1:14" ht="12.75">
      <c r="A34" s="49" t="s">
        <v>108</v>
      </c>
      <c r="B34" s="93"/>
      <c r="C34" s="72">
        <f>B15*C29</f>
        <v>0</v>
      </c>
      <c r="D34" s="226">
        <v>0</v>
      </c>
      <c r="E34" s="226">
        <v>0</v>
      </c>
      <c r="F34" s="234">
        <v>0</v>
      </c>
      <c r="G34" s="226">
        <v>0</v>
      </c>
      <c r="H34" s="226">
        <v>0</v>
      </c>
      <c r="I34" s="226">
        <v>0</v>
      </c>
      <c r="J34" s="234">
        <v>0</v>
      </c>
      <c r="K34" s="226">
        <v>0</v>
      </c>
      <c r="L34" s="226">
        <v>0</v>
      </c>
      <c r="M34" s="226">
        <v>0</v>
      </c>
      <c r="N34" s="234">
        <v>0</v>
      </c>
    </row>
    <row r="35" spans="1:14" s="2" customFormat="1" ht="12.75">
      <c r="A35" s="33" t="s">
        <v>69</v>
      </c>
      <c r="B35" s="68"/>
      <c r="C35" s="69">
        <f>C28-C31-C32-C34</f>
        <v>54735</v>
      </c>
      <c r="D35" s="70">
        <f>D28-D31-D32-D34</f>
        <v>50019.3228514274</v>
      </c>
      <c r="E35" s="70">
        <f aca="true" t="shared" si="10" ref="E35:N35">E28-E31-E32-E34</f>
        <v>50294.3662264274</v>
      </c>
      <c r="F35" s="71">
        <f t="shared" si="10"/>
        <v>50570.78481830239</v>
      </c>
      <c r="G35" s="69">
        <f t="shared" si="10"/>
        <v>50848.585503136754</v>
      </c>
      <c r="H35" s="70">
        <f t="shared" si="10"/>
        <v>51127.775191395274</v>
      </c>
      <c r="I35" s="70">
        <f t="shared" si="10"/>
        <v>51408.360828095116</v>
      </c>
      <c r="J35" s="71">
        <f t="shared" si="10"/>
        <v>51690.349392978445</v>
      </c>
      <c r="K35" s="69">
        <f t="shared" si="10"/>
        <v>51973.74790068619</v>
      </c>
      <c r="L35" s="70">
        <f t="shared" si="10"/>
        <v>52258.563400932486</v>
      </c>
      <c r="M35" s="70">
        <f t="shared" si="10"/>
        <v>52544.80297867999</v>
      </c>
      <c r="N35" s="71">
        <f t="shared" si="10"/>
        <v>52832.47375431626</v>
      </c>
    </row>
    <row r="36" spans="1:14" s="2" customFormat="1" ht="12.75">
      <c r="A36" s="50" t="s">
        <v>70</v>
      </c>
      <c r="B36" s="73"/>
      <c r="C36" s="74">
        <f>C35/$B$8</f>
        <v>659.4578313253012</v>
      </c>
      <c r="D36" s="75">
        <f>D35/$B$8</f>
        <v>602.6424439931012</v>
      </c>
      <c r="E36" s="75">
        <f aca="true" t="shared" si="11" ref="E36:N36">E35/$B$8</f>
        <v>605.9562195955109</v>
      </c>
      <c r="F36" s="76">
        <f t="shared" si="11"/>
        <v>609.2865640759323</v>
      </c>
      <c r="G36" s="74">
        <f t="shared" si="11"/>
        <v>612.633560278756</v>
      </c>
      <c r="H36" s="75">
        <f t="shared" si="11"/>
        <v>615.9972914625937</v>
      </c>
      <c r="I36" s="75">
        <f t="shared" si="11"/>
        <v>619.3778413023508</v>
      </c>
      <c r="J36" s="76">
        <f t="shared" si="11"/>
        <v>622.7752938913065</v>
      </c>
      <c r="K36" s="74">
        <f t="shared" si="11"/>
        <v>626.1897337432071</v>
      </c>
      <c r="L36" s="75">
        <f t="shared" si="11"/>
        <v>629.6212457943673</v>
      </c>
      <c r="M36" s="75">
        <f t="shared" si="11"/>
        <v>633.069915405783</v>
      </c>
      <c r="N36" s="76">
        <f t="shared" si="11"/>
        <v>636.5358283652562</v>
      </c>
    </row>
    <row r="37" spans="1:14" ht="12.75">
      <c r="A37" s="49"/>
      <c r="B37" s="103"/>
      <c r="C37" s="252"/>
      <c r="D37" s="253"/>
      <c r="E37" s="253"/>
      <c r="F37" s="254"/>
      <c r="G37" s="255"/>
      <c r="H37" s="255"/>
      <c r="I37" s="255"/>
      <c r="J37" s="254"/>
      <c r="K37" s="255"/>
      <c r="L37" s="255"/>
      <c r="M37" s="255"/>
      <c r="N37" s="254"/>
    </row>
    <row r="38" spans="1:14" ht="12.75">
      <c r="A38" s="43" t="s">
        <v>121</v>
      </c>
      <c r="B38" s="77"/>
      <c r="C38" s="78">
        <f>IF(C30&gt;0,C28/C30,0)</f>
        <v>0</v>
      </c>
      <c r="D38" s="79">
        <f aca="true" t="shared" si="12" ref="D38:N38">IF(D30&gt;0,D28/D30,0)</f>
        <v>11.025213968057471</v>
      </c>
      <c r="E38" s="79">
        <f t="shared" si="12"/>
        <v>11.080340037897757</v>
      </c>
      <c r="F38" s="80">
        <f t="shared" si="12"/>
        <v>11.135741738087242</v>
      </c>
      <c r="G38" s="81">
        <f t="shared" si="12"/>
        <v>11.191420446777677</v>
      </c>
      <c r="H38" s="81">
        <f t="shared" si="12"/>
        <v>11.247377549011562</v>
      </c>
      <c r="I38" s="81">
        <f t="shared" si="12"/>
        <v>11.303614436756618</v>
      </c>
      <c r="J38" s="80">
        <f t="shared" si="12"/>
        <v>11.3601325089404</v>
      </c>
      <c r="K38" s="81">
        <f t="shared" si="12"/>
        <v>11.416933171485102</v>
      </c>
      <c r="L38" s="81">
        <f t="shared" si="12"/>
        <v>11.474017837342526</v>
      </c>
      <c r="M38" s="81">
        <f t="shared" si="12"/>
        <v>11.531387926529236</v>
      </c>
      <c r="N38" s="80">
        <f t="shared" si="12"/>
        <v>11.589044866161883</v>
      </c>
    </row>
    <row r="39" spans="1:14" ht="12.75">
      <c r="A39" s="50" t="s">
        <v>122</v>
      </c>
      <c r="B39" s="82"/>
      <c r="C39" s="83">
        <f>IF(C31&gt;0,C28/C31,0)</f>
        <v>0</v>
      </c>
      <c r="D39" s="84">
        <f aca="true" t="shared" si="13" ref="D39:N39">IF(D31&gt;0,D28/D31,0)</f>
        <v>39.71923291872993</v>
      </c>
      <c r="E39" s="84">
        <f t="shared" si="13"/>
        <v>43.29846253333958</v>
      </c>
      <c r="F39" s="85">
        <f t="shared" si="13"/>
        <v>47.67354207266745</v>
      </c>
      <c r="G39" s="84">
        <f t="shared" si="13"/>
        <v>53.142978089842536</v>
      </c>
      <c r="H39" s="84">
        <f t="shared" si="13"/>
        <v>60.17585198965023</v>
      </c>
      <c r="I39" s="84">
        <f t="shared" si="13"/>
        <v>69.55396570259367</v>
      </c>
      <c r="J39" s="85">
        <f t="shared" si="13"/>
        <v>82.6845621681144</v>
      </c>
      <c r="K39" s="84">
        <f t="shared" si="13"/>
        <v>102.38212654305086</v>
      </c>
      <c r="L39" s="84">
        <f t="shared" si="13"/>
        <v>135.21378982762081</v>
      </c>
      <c r="M39" s="84">
        <f t="shared" si="13"/>
        <v>200.8809433703592</v>
      </c>
      <c r="N39" s="85">
        <f t="shared" si="13"/>
        <v>397.8905404048919</v>
      </c>
    </row>
    <row r="40" spans="3:14" ht="12.75">
      <c r="C40" s="92"/>
      <c r="D40" s="92"/>
      <c r="E40" s="92"/>
      <c r="F40" s="92"/>
      <c r="G40" s="92"/>
      <c r="H40" s="92"/>
      <c r="I40" s="92"/>
      <c r="J40" s="92"/>
      <c r="K40" s="92"/>
      <c r="L40" s="92"/>
      <c r="M40" s="92"/>
      <c r="N40" s="92"/>
    </row>
    <row r="41" spans="1:10" ht="12.75" customHeight="1">
      <c r="A41" s="3" t="s">
        <v>115</v>
      </c>
      <c r="C41" s="9"/>
      <c r="D41" s="9"/>
      <c r="E41" s="9"/>
      <c r="F41" s="9"/>
      <c r="G41" s="9"/>
      <c r="H41" s="9"/>
      <c r="I41" s="9"/>
      <c r="J41" s="9"/>
    </row>
    <row r="42" spans="1:10" ht="12.75" customHeight="1">
      <c r="A42" s="3" t="s">
        <v>114</v>
      </c>
      <c r="C42" s="9"/>
      <c r="D42" s="9"/>
      <c r="E42" s="9"/>
      <c r="F42" s="9"/>
      <c r="G42" s="9"/>
      <c r="H42" s="9"/>
      <c r="I42" s="9"/>
      <c r="J42" s="9"/>
    </row>
    <row r="43" spans="1:10" ht="12.75" customHeight="1">
      <c r="A43" s="3" t="s">
        <v>116</v>
      </c>
      <c r="C43" s="9"/>
      <c r="D43" s="9"/>
      <c r="E43" s="9"/>
      <c r="F43" s="9"/>
      <c r="G43" s="9"/>
      <c r="H43" s="9"/>
      <c r="I43" s="9"/>
      <c r="J43" s="9"/>
    </row>
    <row r="44" ht="12.75">
      <c r="A44" s="3" t="s">
        <v>123</v>
      </c>
    </row>
    <row r="45" spans="1:2" ht="12.75" hidden="1">
      <c r="A45" s="3">
        <v>1</v>
      </c>
      <c r="B45" s="3" t="s">
        <v>75</v>
      </c>
    </row>
    <row r="46" spans="1:2" ht="12.75" hidden="1">
      <c r="A46" s="3">
        <v>2</v>
      </c>
      <c r="B46" s="3" t="s">
        <v>76</v>
      </c>
    </row>
    <row r="47" spans="1:2" ht="12.75" hidden="1">
      <c r="A47" s="3">
        <v>3</v>
      </c>
      <c r="B47" s="3" t="s">
        <v>77</v>
      </c>
    </row>
    <row r="48" spans="1:10" ht="12.75">
      <c r="A48" s="3" t="s">
        <v>124</v>
      </c>
      <c r="C48" s="92"/>
      <c r="D48" s="92"/>
      <c r="E48" s="92"/>
      <c r="F48" s="92"/>
      <c r="G48" s="92"/>
      <c r="H48" s="92"/>
      <c r="I48" s="92"/>
      <c r="J48" s="92"/>
    </row>
    <row r="50" spans="6:14" ht="12.75">
      <c r="F50" s="9">
        <f>SUM(C36:F36)</f>
        <v>2477.3430589898458</v>
      </c>
      <c r="J50" s="9">
        <f>SUM(G36:J36)</f>
        <v>2470.7839869350073</v>
      </c>
      <c r="N50" s="9">
        <f>SUM(K36:N36)</f>
        <v>2525.4167233086137</v>
      </c>
    </row>
    <row r="51" spans="6:15" ht="12.75">
      <c r="F51" s="168"/>
      <c r="O51" s="9">
        <f>F50+J50+N50</f>
        <v>7473.543769233467</v>
      </c>
    </row>
    <row r="55" spans="4:10" ht="12.75">
      <c r="D55" s="8"/>
      <c r="E55" s="8"/>
      <c r="F55" s="8"/>
      <c r="G55" s="8"/>
      <c r="H55" s="8"/>
      <c r="I55" s="8"/>
      <c r="J55" s="8"/>
    </row>
  </sheetData>
  <sheetProtection selectLockedCells="1"/>
  <mergeCells count="8">
    <mergeCell ref="K22:N22"/>
    <mergeCell ref="H8:J8"/>
    <mergeCell ref="H9:J9"/>
    <mergeCell ref="H10:J10"/>
    <mergeCell ref="A2:F2"/>
    <mergeCell ref="H7:I7"/>
    <mergeCell ref="C22:F22"/>
    <mergeCell ref="G22:J22"/>
  </mergeCells>
  <conditionalFormatting sqref="A2">
    <cfRule type="cellIs" priority="1" dxfId="0" operator="equal" stopIfTrue="1">
      <formula>0</formula>
    </cfRule>
    <cfRule type="cellIs" priority="2" dxfId="1" operator="notEqual" stopIfTrue="1">
      <formula>0</formula>
    </cfRule>
  </conditionalFormatting>
  <dataValidations count="1">
    <dataValidation type="list" allowBlank="1" showInputMessage="1" showErrorMessage="1" sqref="B7">
      <formula1>$A$45:$A$47</formula1>
    </dataValidation>
  </dataValidations>
  <printOptions/>
  <pageMargins left="0.75" right="0.75" top="1" bottom="1" header="0.5" footer="0.5"/>
  <pageSetup fitToHeight="1" fitToWidth="1" horizontalDpi="600" verticalDpi="600" orientation="landscape" scale="63" r:id="rId2"/>
  <headerFooter alignWithMargins="0">
    <oddFooter>&amp;L&amp;G&amp;R&amp;P / &amp;N</oddFooter>
  </headerFooter>
  <ignoredErrors>
    <ignoredError sqref="C27:N27" formula="1"/>
  </ignoredErrors>
  <legacyDrawingHF r:id="rId1"/>
</worksheet>
</file>

<file path=xl/worksheets/sheet14.xml><?xml version="1.0" encoding="utf-8"?>
<worksheet xmlns="http://schemas.openxmlformats.org/spreadsheetml/2006/main" xmlns:r="http://schemas.openxmlformats.org/officeDocument/2006/relationships">
  <sheetPr codeName="Sheet12">
    <pageSetUpPr fitToPage="1"/>
  </sheetPr>
  <dimension ref="A1:Q49"/>
  <sheetViews>
    <sheetView workbookViewId="0" topLeftCell="A1">
      <pane xSplit="1" ySplit="8" topLeftCell="B9" activePane="bottomRight" state="frozen"/>
      <selection pane="topLeft" activeCell="A1" sqref="A1"/>
      <selection pane="topRight" activeCell="B1" sqref="B1"/>
      <selection pane="bottomLeft" activeCell="A5" sqref="A5"/>
      <selection pane="bottomRight" activeCell="G2" sqref="G2"/>
    </sheetView>
  </sheetViews>
  <sheetFormatPr defaultColWidth="9.140625" defaultRowHeight="12.75"/>
  <cols>
    <col min="1" max="1" width="33.140625" style="100" customWidth="1"/>
    <col min="2" max="3" width="15.7109375" style="100" customWidth="1"/>
    <col min="4" max="8" width="14.8515625" style="100" customWidth="1"/>
    <col min="9" max="9" width="15.8515625" style="100" customWidth="1"/>
    <col min="10" max="10" width="14.140625" style="100" customWidth="1"/>
    <col min="11" max="11" width="15.8515625" style="100" customWidth="1"/>
    <col min="12" max="12" width="14.8515625" style="100" customWidth="1"/>
    <col min="13" max="16" width="13.00390625" style="100" customWidth="1"/>
    <col min="17" max="17" width="10.8515625" style="100" customWidth="1"/>
    <col min="18" max="16384" width="9.140625" style="100" customWidth="1"/>
  </cols>
  <sheetData>
    <row r="1" ht="20.25">
      <c r="A1" s="86" t="s">
        <v>318</v>
      </c>
    </row>
    <row r="2" spans="1:14" ht="12.75">
      <c r="A2" s="371">
        <f>IF('ERR &amp; Sensitivity Analysis'!$I$10="N","Note: Current calculations are based on user input and are not the original MCC estimates.",IF('ERR &amp; Sensitivity Analysis'!$I$11="N","Note: Current calculations are based on user input and are not the original MCC estimates.",0))</f>
        <v>0</v>
      </c>
      <c r="B2" s="371"/>
      <c r="C2" s="371"/>
      <c r="D2" s="371"/>
      <c r="E2" s="371"/>
      <c r="F2" s="371"/>
      <c r="N2" s="257"/>
    </row>
    <row r="3" spans="1:14" ht="18">
      <c r="A3" s="88" t="s">
        <v>340</v>
      </c>
      <c r="N3" s="257"/>
    </row>
    <row r="4" spans="8:16" ht="12.75">
      <c r="H4" s="257">
        <f>'Ag ERR'!B14</f>
        <v>0</v>
      </c>
      <c r="J4" s="258">
        <v>0.46</v>
      </c>
      <c r="N4" s="257"/>
      <c r="P4" s="257">
        <f>1+'Ag ERR'!B11</f>
        <v>1</v>
      </c>
    </row>
    <row r="5" spans="1:17" ht="25.5" customHeight="1">
      <c r="A5" s="259"/>
      <c r="B5" s="408" t="s">
        <v>27</v>
      </c>
      <c r="C5" s="408"/>
      <c r="D5" s="408"/>
      <c r="E5" s="408"/>
      <c r="F5" s="408"/>
      <c r="G5" s="408" t="s">
        <v>23</v>
      </c>
      <c r="H5" s="408"/>
      <c r="I5" s="408" t="s">
        <v>17</v>
      </c>
      <c r="J5" s="408"/>
      <c r="K5" s="408"/>
      <c r="L5" s="408" t="s">
        <v>16</v>
      </c>
      <c r="M5" s="408"/>
      <c r="N5" s="408" t="s">
        <v>18</v>
      </c>
      <c r="O5" s="408"/>
      <c r="P5" s="408" t="s">
        <v>22</v>
      </c>
      <c r="Q5" s="408"/>
    </row>
    <row r="6" spans="1:17" ht="63.75">
      <c r="A6" s="227"/>
      <c r="B6" s="259" t="s">
        <v>29</v>
      </c>
      <c r="C6" s="260" t="s">
        <v>33</v>
      </c>
      <c r="D6" s="259" t="s">
        <v>26</v>
      </c>
      <c r="E6" s="260" t="s">
        <v>30</v>
      </c>
      <c r="F6" s="259" t="s">
        <v>31</v>
      </c>
      <c r="G6" s="261" t="s">
        <v>43</v>
      </c>
      <c r="H6" s="259" t="s">
        <v>24</v>
      </c>
      <c r="I6" s="261" t="s">
        <v>32</v>
      </c>
      <c r="J6" s="259" t="s">
        <v>13</v>
      </c>
      <c r="K6" s="262" t="s">
        <v>12</v>
      </c>
      <c r="L6" s="261" t="s">
        <v>9</v>
      </c>
      <c r="M6" s="259" t="s">
        <v>28</v>
      </c>
      <c r="N6" s="259" t="s">
        <v>8</v>
      </c>
      <c r="O6" s="259" t="s">
        <v>19</v>
      </c>
      <c r="P6" s="259" t="s">
        <v>20</v>
      </c>
      <c r="Q6" s="259" t="s">
        <v>21</v>
      </c>
    </row>
    <row r="7" spans="1:17" ht="63.75">
      <c r="A7" s="227"/>
      <c r="B7" s="227" t="s">
        <v>35</v>
      </c>
      <c r="C7" s="219" t="s">
        <v>36</v>
      </c>
      <c r="D7" s="227" t="s">
        <v>37</v>
      </c>
      <c r="E7" s="219" t="s">
        <v>42</v>
      </c>
      <c r="F7" s="227" t="s">
        <v>41</v>
      </c>
      <c r="G7" s="263" t="s">
        <v>44</v>
      </c>
      <c r="H7" s="227" t="s">
        <v>39</v>
      </c>
      <c r="I7" s="263" t="s">
        <v>40</v>
      </c>
      <c r="J7" s="227" t="s">
        <v>50</v>
      </c>
      <c r="K7" s="264" t="s">
        <v>51</v>
      </c>
      <c r="L7" s="263" t="s">
        <v>52</v>
      </c>
      <c r="M7" s="227" t="s">
        <v>53</v>
      </c>
      <c r="N7" s="227" t="s">
        <v>47</v>
      </c>
      <c r="O7" s="227" t="s">
        <v>54</v>
      </c>
      <c r="P7" s="227" t="s">
        <v>55</v>
      </c>
      <c r="Q7" s="227" t="s">
        <v>56</v>
      </c>
    </row>
    <row r="8" spans="1:17" ht="25.5">
      <c r="A8" s="227"/>
      <c r="B8" s="265" t="s">
        <v>6</v>
      </c>
      <c r="C8" s="219" t="s">
        <v>6</v>
      </c>
      <c r="D8" s="265" t="s">
        <v>6</v>
      </c>
      <c r="E8" s="219" t="s">
        <v>6</v>
      </c>
      <c r="F8" s="265" t="s">
        <v>6</v>
      </c>
      <c r="G8" s="263" t="s">
        <v>34</v>
      </c>
      <c r="H8" s="265" t="s">
        <v>25</v>
      </c>
      <c r="I8" s="263" t="s">
        <v>46</v>
      </c>
      <c r="J8" s="265" t="s">
        <v>14</v>
      </c>
      <c r="K8" s="264" t="s">
        <v>45</v>
      </c>
      <c r="L8" s="263" t="s">
        <v>10</v>
      </c>
      <c r="M8" s="265" t="s">
        <v>11</v>
      </c>
      <c r="N8" s="265" t="s">
        <v>4</v>
      </c>
      <c r="O8" s="265" t="s">
        <v>4</v>
      </c>
      <c r="P8" s="265" t="s">
        <v>5</v>
      </c>
      <c r="Q8" s="265" t="s">
        <v>5</v>
      </c>
    </row>
    <row r="9" spans="1:17" ht="12.75">
      <c r="A9" s="227" t="s">
        <v>7</v>
      </c>
      <c r="B9" s="263"/>
      <c r="C9" s="219"/>
      <c r="D9" s="219"/>
      <c r="E9" s="219"/>
      <c r="F9" s="264"/>
      <c r="G9" s="263"/>
      <c r="H9" s="264"/>
      <c r="I9" s="263"/>
      <c r="J9" s="219"/>
      <c r="K9" s="264"/>
      <c r="L9" s="263"/>
      <c r="M9" s="264"/>
      <c r="N9" s="263"/>
      <c r="O9" s="264"/>
      <c r="P9" s="263"/>
      <c r="Q9" s="264"/>
    </row>
    <row r="10" spans="1:17" ht="12.75">
      <c r="A10" s="225" t="s">
        <v>2</v>
      </c>
      <c r="B10" s="266">
        <v>430</v>
      </c>
      <c r="C10" s="267">
        <v>0</v>
      </c>
      <c r="D10" s="267">
        <f>((O10*1000*P10)+(O11*1000*P11))/2</f>
        <v>10500</v>
      </c>
      <c r="E10" s="267">
        <v>0</v>
      </c>
      <c r="F10" s="268">
        <v>0</v>
      </c>
      <c r="G10" s="266"/>
      <c r="H10" s="268">
        <v>0</v>
      </c>
      <c r="I10" s="266">
        <v>125</v>
      </c>
      <c r="J10" s="219">
        <v>0</v>
      </c>
      <c r="K10" s="264">
        <v>400</v>
      </c>
      <c r="L10" s="263">
        <v>120</v>
      </c>
      <c r="M10" s="264">
        <v>1</v>
      </c>
      <c r="N10" s="263">
        <v>0.2</v>
      </c>
      <c r="O10" s="264">
        <f>N10*M10</f>
        <v>0.2</v>
      </c>
      <c r="P10" s="263">
        <v>30</v>
      </c>
      <c r="Q10" s="264">
        <v>45</v>
      </c>
    </row>
    <row r="11" spans="1:17" ht="12.75">
      <c r="A11" s="225" t="s">
        <v>3</v>
      </c>
      <c r="B11" s="266"/>
      <c r="C11" s="267"/>
      <c r="D11" s="267"/>
      <c r="E11" s="267"/>
      <c r="F11" s="268"/>
      <c r="G11" s="266"/>
      <c r="H11" s="268"/>
      <c r="I11" s="266"/>
      <c r="J11" s="219"/>
      <c r="K11" s="264"/>
      <c r="L11" s="263">
        <v>120</v>
      </c>
      <c r="M11" s="264">
        <v>1</v>
      </c>
      <c r="N11" s="263">
        <v>0.15</v>
      </c>
      <c r="O11" s="269">
        <f>N11*M11</f>
        <v>0.15</v>
      </c>
      <c r="P11" s="263">
        <v>100</v>
      </c>
      <c r="Q11" s="264">
        <v>130</v>
      </c>
    </row>
    <row r="12" spans="1:17" ht="12.75">
      <c r="A12" s="225"/>
      <c r="B12" s="266"/>
      <c r="C12" s="267"/>
      <c r="D12" s="267"/>
      <c r="E12" s="267"/>
      <c r="F12" s="268"/>
      <c r="G12" s="266"/>
      <c r="H12" s="268"/>
      <c r="I12" s="266"/>
      <c r="J12" s="219"/>
      <c r="K12" s="264"/>
      <c r="L12" s="263"/>
      <c r="M12" s="264"/>
      <c r="N12" s="263"/>
      <c r="O12" s="269"/>
      <c r="P12" s="263"/>
      <c r="Q12" s="264"/>
    </row>
    <row r="13" spans="1:17" ht="12.75">
      <c r="A13" s="227" t="s">
        <v>59</v>
      </c>
      <c r="B13" s="266">
        <v>116000</v>
      </c>
      <c r="C13" s="267">
        <v>0</v>
      </c>
      <c r="D13" s="267">
        <f>D16*M16*0.9</f>
        <v>18000</v>
      </c>
      <c r="E13" s="267">
        <v>0</v>
      </c>
      <c r="F13" s="268">
        <v>0</v>
      </c>
      <c r="G13" s="270"/>
      <c r="H13" s="271">
        <v>0</v>
      </c>
      <c r="I13" s="270">
        <v>360</v>
      </c>
      <c r="J13" s="272">
        <v>0.15</v>
      </c>
      <c r="K13" s="113">
        <v>400</v>
      </c>
      <c r="L13" s="273">
        <v>365</v>
      </c>
      <c r="M13" s="113">
        <v>1</v>
      </c>
      <c r="N13" s="273">
        <v>1.5</v>
      </c>
      <c r="O13" s="274">
        <f>N13*M13</f>
        <v>1.5</v>
      </c>
      <c r="P13" s="263">
        <v>200</v>
      </c>
      <c r="Q13" s="264">
        <v>200</v>
      </c>
    </row>
    <row r="14" spans="1:17" ht="12.75">
      <c r="A14" s="227"/>
      <c r="B14" s="266"/>
      <c r="C14" s="267"/>
      <c r="D14" s="267"/>
      <c r="E14" s="275"/>
      <c r="F14" s="268"/>
      <c r="G14" s="270"/>
      <c r="H14" s="271"/>
      <c r="I14" s="270"/>
      <c r="J14" s="105"/>
      <c r="K14" s="113"/>
      <c r="L14" s="273"/>
      <c r="M14" s="113"/>
      <c r="N14" s="273"/>
      <c r="O14" s="113"/>
      <c r="P14" s="263"/>
      <c r="Q14" s="264"/>
    </row>
    <row r="15" spans="1:17" ht="12.75">
      <c r="A15" s="227" t="s">
        <v>15</v>
      </c>
      <c r="B15" s="266"/>
      <c r="C15" s="267"/>
      <c r="D15" s="267"/>
      <c r="E15" s="275"/>
      <c r="F15" s="268"/>
      <c r="G15" s="270"/>
      <c r="H15" s="271"/>
      <c r="I15" s="270"/>
      <c r="J15" s="272"/>
      <c r="K15" s="113"/>
      <c r="L15" s="273"/>
      <c r="M15" s="113"/>
      <c r="N15" s="273"/>
      <c r="O15" s="113"/>
      <c r="P15" s="263"/>
      <c r="Q15" s="264"/>
    </row>
    <row r="16" spans="1:17" ht="12.75">
      <c r="A16" s="227" t="s">
        <v>302</v>
      </c>
      <c r="B16" s="266">
        <f>31250+12500</f>
        <v>43750</v>
      </c>
      <c r="C16" s="267">
        <v>37380</v>
      </c>
      <c r="D16" s="267">
        <f>20000/M16</f>
        <v>10000</v>
      </c>
      <c r="E16" s="275">
        <f>3200/3</f>
        <v>1066.6666666666667</v>
      </c>
      <c r="F16" s="268">
        <v>0</v>
      </c>
      <c r="G16" s="270">
        <v>40</v>
      </c>
      <c r="H16" s="271">
        <f>25*(1+H4)</f>
        <v>25</v>
      </c>
      <c r="I16" s="270">
        <f>7*20</f>
        <v>140</v>
      </c>
      <c r="J16" s="272">
        <f>J4</f>
        <v>0.46</v>
      </c>
      <c r="K16" s="113">
        <v>400</v>
      </c>
      <c r="L16" s="273">
        <v>60</v>
      </c>
      <c r="M16" s="113">
        <v>2</v>
      </c>
      <c r="N16" s="273">
        <v>10</v>
      </c>
      <c r="O16" s="113">
        <f>N16*M16</f>
        <v>20</v>
      </c>
      <c r="P16" s="276">
        <f>35*P4</f>
        <v>35</v>
      </c>
      <c r="Q16" s="264">
        <v>60</v>
      </c>
    </row>
    <row r="17" spans="1:17" ht="12.75">
      <c r="A17" s="227" t="s">
        <v>301</v>
      </c>
      <c r="B17" s="266"/>
      <c r="C17" s="267"/>
      <c r="D17" s="267"/>
      <c r="E17" s="275"/>
      <c r="F17" s="268"/>
      <c r="G17" s="270"/>
      <c r="H17" s="271">
        <f>70*(1+H4)</f>
        <v>70</v>
      </c>
      <c r="I17" s="270"/>
      <c r="J17" s="272"/>
      <c r="K17" s="113"/>
      <c r="L17" s="273"/>
      <c r="M17" s="113"/>
      <c r="N17" s="273"/>
      <c r="O17" s="113"/>
      <c r="P17" s="276"/>
      <c r="Q17" s="264"/>
    </row>
    <row r="18" spans="1:17" ht="25.5">
      <c r="A18" s="227" t="s">
        <v>303</v>
      </c>
      <c r="B18" s="266">
        <f>30970+25030+23320+640</f>
        <v>79960</v>
      </c>
      <c r="C18" s="267">
        <v>16980</v>
      </c>
      <c r="D18" s="267">
        <f>20000*1.25/M18</f>
        <v>10000</v>
      </c>
      <c r="E18" s="275">
        <v>20000</v>
      </c>
      <c r="F18" s="268">
        <f>6000*85*0.05/M18</f>
        <v>10200</v>
      </c>
      <c r="G18" s="270">
        <v>25</v>
      </c>
      <c r="H18" s="271">
        <f>15*(1+H4)</f>
        <v>15</v>
      </c>
      <c r="I18" s="270">
        <f>5*20</f>
        <v>100</v>
      </c>
      <c r="J18" s="272">
        <f>J16</f>
        <v>0.46</v>
      </c>
      <c r="K18" s="113">
        <v>400</v>
      </c>
      <c r="L18" s="273">
        <v>60</v>
      </c>
      <c r="M18" s="113">
        <v>2.5</v>
      </c>
      <c r="N18" s="277">
        <v>24</v>
      </c>
      <c r="O18" s="113">
        <f>N18*M18</f>
        <v>60</v>
      </c>
      <c r="P18" s="276">
        <f>P16</f>
        <v>35</v>
      </c>
      <c r="Q18" s="264">
        <v>60</v>
      </c>
    </row>
    <row r="19" spans="1:17" ht="12.75">
      <c r="A19" s="227" t="s">
        <v>251</v>
      </c>
      <c r="B19" s="266"/>
      <c r="C19" s="267"/>
      <c r="D19" s="267"/>
      <c r="E19" s="275"/>
      <c r="F19" s="268"/>
      <c r="G19" s="273"/>
      <c r="H19" s="271">
        <f>50*(1+H4)</f>
        <v>50</v>
      </c>
      <c r="I19" s="270"/>
      <c r="J19" s="272"/>
      <c r="K19" s="113"/>
      <c r="L19" s="273"/>
      <c r="M19" s="113"/>
      <c r="N19" s="277"/>
      <c r="O19" s="113"/>
      <c r="P19" s="276"/>
      <c r="Q19" s="264"/>
    </row>
    <row r="20" spans="1:17" ht="12.75">
      <c r="A20" s="227" t="s">
        <v>301</v>
      </c>
      <c r="B20" s="266"/>
      <c r="C20" s="267"/>
      <c r="D20" s="267"/>
      <c r="E20" s="275"/>
      <c r="F20" s="268"/>
      <c r="G20" s="273"/>
      <c r="H20" s="271">
        <f>42*(1+H4)</f>
        <v>42</v>
      </c>
      <c r="I20" s="270"/>
      <c r="J20" s="272"/>
      <c r="K20" s="113"/>
      <c r="L20" s="273"/>
      <c r="M20" s="113"/>
      <c r="N20" s="277"/>
      <c r="O20" s="113"/>
      <c r="P20" s="276"/>
      <c r="Q20" s="264"/>
    </row>
    <row r="21" spans="1:17" ht="12.75">
      <c r="A21" s="227"/>
      <c r="B21" s="278"/>
      <c r="C21" s="267"/>
      <c r="D21" s="267"/>
      <c r="E21" s="275"/>
      <c r="F21" s="268"/>
      <c r="G21" s="270"/>
      <c r="H21" s="271"/>
      <c r="I21" s="270"/>
      <c r="J21" s="105"/>
      <c r="K21" s="113"/>
      <c r="L21" s="273"/>
      <c r="M21" s="113"/>
      <c r="N21" s="273"/>
      <c r="O21" s="113"/>
      <c r="P21" s="263"/>
      <c r="Q21" s="264"/>
    </row>
    <row r="22" spans="1:17" ht="12.75">
      <c r="A22" s="227" t="s">
        <v>38</v>
      </c>
      <c r="B22" s="266"/>
      <c r="C22" s="267"/>
      <c r="D22" s="267"/>
      <c r="E22" s="275"/>
      <c r="F22" s="268"/>
      <c r="G22" s="270"/>
      <c r="H22" s="271"/>
      <c r="I22" s="270"/>
      <c r="J22" s="105"/>
      <c r="K22" s="113"/>
      <c r="L22" s="273"/>
      <c r="M22" s="113"/>
      <c r="N22" s="273"/>
      <c r="O22" s="113"/>
      <c r="P22" s="276"/>
      <c r="Q22" s="264"/>
    </row>
    <row r="23" spans="1:17" ht="12.75">
      <c r="A23" s="227" t="s">
        <v>0</v>
      </c>
      <c r="B23" s="266">
        <f>110000+0+100000</f>
        <v>210000</v>
      </c>
      <c r="C23" s="267"/>
      <c r="D23" s="267">
        <f>20000/M23</f>
        <v>20000</v>
      </c>
      <c r="E23" s="275">
        <v>1950</v>
      </c>
      <c r="F23" s="268">
        <v>0</v>
      </c>
      <c r="G23" s="270">
        <v>35</v>
      </c>
      <c r="H23" s="271">
        <f>25*(1+H4)</f>
        <v>25</v>
      </c>
      <c r="I23" s="270">
        <v>395</v>
      </c>
      <c r="J23" s="272">
        <f>J4</f>
        <v>0.46</v>
      </c>
      <c r="K23" s="113">
        <v>400</v>
      </c>
      <c r="L23" s="273">
        <v>365</v>
      </c>
      <c r="M23" s="113">
        <v>1</v>
      </c>
      <c r="N23" s="273">
        <v>25</v>
      </c>
      <c r="O23" s="113">
        <f>N23*M23</f>
        <v>25</v>
      </c>
      <c r="P23" s="276">
        <f>40*P4</f>
        <v>40</v>
      </c>
      <c r="Q23" s="264">
        <v>100</v>
      </c>
    </row>
    <row r="24" spans="1:17" ht="25.5">
      <c r="A24" s="227" t="s">
        <v>303</v>
      </c>
      <c r="B24" s="266">
        <f>55000+80000+120000</f>
        <v>255000</v>
      </c>
      <c r="C24" s="267"/>
      <c r="D24" s="267">
        <f>20000*1.25/M24</f>
        <v>25000</v>
      </c>
      <c r="E24" s="275">
        <f>E18</f>
        <v>20000</v>
      </c>
      <c r="F24" s="268">
        <f>6000*85*0.05/M24</f>
        <v>25500</v>
      </c>
      <c r="G24" s="270">
        <v>30</v>
      </c>
      <c r="H24" s="271">
        <f>15*(1+H4)</f>
        <v>15</v>
      </c>
      <c r="I24" s="270">
        <v>395</v>
      </c>
      <c r="J24" s="272">
        <f>J23</f>
        <v>0.46</v>
      </c>
      <c r="K24" s="113">
        <v>400</v>
      </c>
      <c r="L24" s="273">
        <v>365</v>
      </c>
      <c r="M24" s="113">
        <v>1</v>
      </c>
      <c r="N24" s="277">
        <v>50</v>
      </c>
      <c r="O24" s="113">
        <f>N24*M24</f>
        <v>50</v>
      </c>
      <c r="P24" s="276">
        <f>P23</f>
        <v>40</v>
      </c>
      <c r="Q24" s="264">
        <v>100</v>
      </c>
    </row>
    <row r="25" spans="1:17" ht="12.75">
      <c r="A25" s="227" t="s">
        <v>251</v>
      </c>
      <c r="B25" s="263"/>
      <c r="C25" s="219"/>
      <c r="D25" s="219"/>
      <c r="E25" s="105"/>
      <c r="F25" s="264"/>
      <c r="G25" s="273"/>
      <c r="H25" s="113">
        <f>50*(1+H4)</f>
        <v>50</v>
      </c>
      <c r="I25" s="273"/>
      <c r="J25" s="105"/>
      <c r="K25" s="113"/>
      <c r="L25" s="273"/>
      <c r="M25" s="113"/>
      <c r="N25" s="273"/>
      <c r="O25" s="113"/>
      <c r="P25" s="263"/>
      <c r="Q25" s="264"/>
    </row>
    <row r="26" spans="1:17" ht="12.75">
      <c r="A26" s="265" t="s">
        <v>301</v>
      </c>
      <c r="B26" s="279"/>
      <c r="C26" s="280"/>
      <c r="D26" s="280"/>
      <c r="E26" s="281"/>
      <c r="F26" s="282"/>
      <c r="G26" s="283"/>
      <c r="H26" s="284">
        <f>42*(1+H4)</f>
        <v>42</v>
      </c>
      <c r="I26" s="285"/>
      <c r="J26" s="286"/>
      <c r="K26" s="287"/>
      <c r="L26" s="283"/>
      <c r="M26" s="287"/>
      <c r="N26" s="288"/>
      <c r="O26" s="287"/>
      <c r="P26" s="289"/>
      <c r="Q26" s="290"/>
    </row>
    <row r="27" spans="5:15" ht="12.75">
      <c r="E27" s="101"/>
      <c r="G27" s="101"/>
      <c r="H27" s="101"/>
      <c r="I27" s="101"/>
      <c r="J27" s="101"/>
      <c r="K27" s="101"/>
      <c r="L27" s="101"/>
      <c r="M27" s="101"/>
      <c r="N27" s="101"/>
      <c r="O27" s="101"/>
    </row>
    <row r="28" spans="1:15" ht="12.75">
      <c r="A28" s="101"/>
      <c r="E28" s="101"/>
      <c r="G28" s="101"/>
      <c r="H28" s="101"/>
      <c r="I28" s="101"/>
      <c r="J28" s="101"/>
      <c r="K28" s="101"/>
      <c r="L28" s="101"/>
      <c r="M28" s="101"/>
      <c r="N28" s="101"/>
      <c r="O28" s="101"/>
    </row>
    <row r="29" spans="1:15" ht="12.75">
      <c r="A29" s="101"/>
      <c r="E29" s="101"/>
      <c r="G29" s="101"/>
      <c r="H29" s="101"/>
      <c r="I29" s="101"/>
      <c r="J29" s="101"/>
      <c r="K29" s="101"/>
      <c r="L29" s="101"/>
      <c r="M29" s="101"/>
      <c r="N29" s="101"/>
      <c r="O29" s="101"/>
    </row>
    <row r="30" spans="7:15" ht="12.75">
      <c r="G30" s="101"/>
      <c r="H30" s="101"/>
      <c r="I30" s="101"/>
      <c r="J30" s="101"/>
      <c r="K30" s="101"/>
      <c r="L30" s="101"/>
      <c r="M30" s="101"/>
      <c r="N30" s="101"/>
      <c r="O30" s="101"/>
    </row>
    <row r="31" spans="7:15" ht="12.75">
      <c r="G31" s="101"/>
      <c r="H31" s="101"/>
      <c r="I31" s="101"/>
      <c r="J31" s="101"/>
      <c r="K31" s="101"/>
      <c r="L31" s="101"/>
      <c r="M31" s="101"/>
      <c r="N31" s="101"/>
      <c r="O31" s="101"/>
    </row>
    <row r="32" spans="1:3" ht="12.75">
      <c r="A32" s="174"/>
      <c r="B32" s="291"/>
      <c r="C32" s="291"/>
    </row>
    <row r="33" spans="2:3" ht="12.75">
      <c r="B33" s="291"/>
      <c r="C33" s="291"/>
    </row>
    <row r="34" ht="12.75">
      <c r="B34" s="291"/>
    </row>
    <row r="35" ht="12.75">
      <c r="B35" s="291"/>
    </row>
    <row r="36" spans="2:3" ht="12.75">
      <c r="B36" s="291"/>
      <c r="C36" s="291"/>
    </row>
    <row r="37" spans="2:3" ht="12.75">
      <c r="B37" s="291"/>
      <c r="C37" s="291"/>
    </row>
    <row r="38" ht="12.75">
      <c r="B38" s="291"/>
    </row>
    <row r="39" ht="12.75">
      <c r="B39" s="291"/>
    </row>
    <row r="40" spans="2:3" ht="12.75">
      <c r="B40" s="291"/>
      <c r="C40" s="291"/>
    </row>
    <row r="41" spans="2:3" ht="12.75">
      <c r="B41" s="291"/>
      <c r="C41" s="291"/>
    </row>
    <row r="42" ht="12.75">
      <c r="B42" s="291"/>
    </row>
    <row r="43" ht="12.75">
      <c r="B43" s="291"/>
    </row>
    <row r="44" ht="12.75">
      <c r="B44" s="291"/>
    </row>
    <row r="45" ht="12.75">
      <c r="B45" s="291"/>
    </row>
    <row r="46" ht="12.75">
      <c r="B46" s="291"/>
    </row>
    <row r="47" ht="12.75">
      <c r="B47" s="291"/>
    </row>
    <row r="48" ht="12.75">
      <c r="B48" s="291"/>
    </row>
    <row r="49" ht="12.75">
      <c r="B49" s="291"/>
    </row>
  </sheetData>
  <mergeCells count="7">
    <mergeCell ref="A2:F2"/>
    <mergeCell ref="B5:F5"/>
    <mergeCell ref="P5:Q5"/>
    <mergeCell ref="I5:K5"/>
    <mergeCell ref="N5:O5"/>
    <mergeCell ref="G5:H5"/>
    <mergeCell ref="L5:M5"/>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5" footer="0.5"/>
  <pageSetup fitToWidth="2" fitToHeight="1" horizontalDpi="600" verticalDpi="600" orientation="landscape" scale="89" r:id="rId4"/>
  <headerFooter alignWithMargins="0">
    <oddFooter>&amp;L&amp;G&amp;R&amp;P / &amp;N</oddFooter>
  </headerFooter>
  <legacyDrawing r:id="rId2"/>
  <legacyDrawingHF r:id="rId3"/>
</worksheet>
</file>

<file path=xl/worksheets/sheet15.xml><?xml version="1.0" encoding="utf-8"?>
<worksheet xmlns="http://schemas.openxmlformats.org/spreadsheetml/2006/main" xmlns:r="http://schemas.openxmlformats.org/officeDocument/2006/relationships">
  <sheetPr codeName="Sheet13"/>
  <dimension ref="A2:H6"/>
  <sheetViews>
    <sheetView workbookViewId="0" topLeftCell="A1">
      <selection activeCell="A1" sqref="A1"/>
    </sheetView>
  </sheetViews>
  <sheetFormatPr defaultColWidth="9.140625" defaultRowHeight="12.75"/>
  <cols>
    <col min="2" max="2" width="24.7109375" style="0" bestFit="1" customWidth="1"/>
    <col min="3" max="4" width="9.7109375" style="0" bestFit="1" customWidth="1"/>
    <col min="6" max="6" width="14.28125" style="0" bestFit="1" customWidth="1"/>
    <col min="7" max="7" width="10.8515625" style="0" customWidth="1"/>
  </cols>
  <sheetData>
    <row r="2" spans="3:8" ht="12.75">
      <c r="C2" s="409" t="s">
        <v>84</v>
      </c>
      <c r="D2" s="409"/>
      <c r="E2" s="4"/>
      <c r="G2" s="409"/>
      <c r="H2" s="409"/>
    </row>
    <row r="3" spans="3:8" ht="12.75">
      <c r="C3" s="6" t="s">
        <v>73</v>
      </c>
      <c r="D3" s="6" t="s">
        <v>74</v>
      </c>
      <c r="G3" s="4"/>
      <c r="H3" s="4"/>
    </row>
    <row r="4" spans="1:4" ht="12.75">
      <c r="A4">
        <v>1</v>
      </c>
      <c r="B4" t="s">
        <v>75</v>
      </c>
      <c r="C4" s="1">
        <f>'Value-Added'!J18</f>
        <v>1904700</v>
      </c>
      <c r="D4" s="1">
        <f>'Value-Added'!E18</f>
        <v>445100</v>
      </c>
    </row>
    <row r="5" spans="1:4" ht="12.75">
      <c r="A5">
        <v>2</v>
      </c>
      <c r="B5" t="s">
        <v>76</v>
      </c>
      <c r="C5" s="1" t="e">
        <f>'Value-Added'!#REF!</f>
        <v>#REF!</v>
      </c>
      <c r="D5" s="1" t="e">
        <f>'Value-Added'!#REF!</f>
        <v>#REF!</v>
      </c>
    </row>
    <row r="6" spans="1:4" ht="12.75">
      <c r="A6">
        <v>3</v>
      </c>
      <c r="B6" t="s">
        <v>77</v>
      </c>
      <c r="C6" s="1">
        <f>'Value-Added'!J24</f>
        <v>1814000</v>
      </c>
      <c r="D6" s="1">
        <f>'Value-Added'!E24</f>
        <v>562430</v>
      </c>
    </row>
  </sheetData>
  <mergeCells count="2">
    <mergeCell ref="C2:D2"/>
    <mergeCell ref="G2:H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4"/>
  <dimension ref="B1:C24"/>
  <sheetViews>
    <sheetView showGridLines="0" tabSelected="1" workbookViewId="0" topLeftCell="A1">
      <selection activeCell="A1" sqref="A1"/>
    </sheetView>
  </sheetViews>
  <sheetFormatPr defaultColWidth="9.140625" defaultRowHeight="12.75"/>
  <cols>
    <col min="1" max="1" width="4.8515625" style="292" customWidth="1"/>
    <col min="2" max="2" width="114.28125" style="292" customWidth="1"/>
    <col min="3" max="3" width="16.28125" style="292" customWidth="1"/>
    <col min="4" max="16384" width="9.140625" style="292" customWidth="1"/>
  </cols>
  <sheetData>
    <row r="1" ht="33" customHeight="1">
      <c r="B1" s="298" t="s">
        <v>384</v>
      </c>
    </row>
    <row r="3" ht="18">
      <c r="B3" s="299" t="s">
        <v>385</v>
      </c>
    </row>
    <row r="5" ht="19.5" customHeight="1">
      <c r="B5" s="300" t="s">
        <v>386</v>
      </c>
    </row>
    <row r="6" ht="5.25" customHeight="1">
      <c r="B6" s="300"/>
    </row>
    <row r="7" ht="93.75" customHeight="1">
      <c r="B7" s="301" t="s">
        <v>355</v>
      </c>
    </row>
    <row r="8" ht="28.5" customHeight="1">
      <c r="B8" s="300" t="s">
        <v>387</v>
      </c>
    </row>
    <row r="9" ht="5.25" customHeight="1">
      <c r="B9" s="301"/>
    </row>
    <row r="10" ht="15" customHeight="1">
      <c r="B10" s="302" t="s">
        <v>356</v>
      </c>
    </row>
    <row r="11" ht="39" customHeight="1">
      <c r="B11" s="302" t="s">
        <v>370</v>
      </c>
    </row>
    <row r="12" ht="30" customHeight="1">
      <c r="B12" s="302" t="s">
        <v>357</v>
      </c>
    </row>
    <row r="13" ht="18.75" customHeight="1">
      <c r="B13" s="302" t="s">
        <v>358</v>
      </c>
    </row>
    <row r="14" ht="5.25" customHeight="1">
      <c r="B14" s="302"/>
    </row>
    <row r="15" ht="30.75" customHeight="1">
      <c r="B15" s="300" t="s">
        <v>388</v>
      </c>
    </row>
    <row r="16" ht="6" customHeight="1">
      <c r="B16" s="303"/>
    </row>
    <row r="17" ht="79.5" customHeight="1">
      <c r="B17" s="304" t="s">
        <v>389</v>
      </c>
    </row>
    <row r="18" ht="78.75" customHeight="1">
      <c r="B18" s="305" t="s">
        <v>390</v>
      </c>
    </row>
    <row r="19" spans="2:3" ht="103.5" customHeight="1">
      <c r="B19" s="305" t="s">
        <v>391</v>
      </c>
      <c r="C19" s="302"/>
    </row>
    <row r="20" ht="82.5" customHeight="1">
      <c r="B20" s="306" t="s">
        <v>392</v>
      </c>
    </row>
    <row r="21" ht="63.75">
      <c r="B21" s="306" t="s">
        <v>393</v>
      </c>
    </row>
    <row r="24" ht="12.75">
      <c r="B24" s="307" t="s">
        <v>394</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15"/>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2">
    <pageSetUpPr fitToPage="1"/>
  </sheetPr>
  <dimension ref="B2:I81"/>
  <sheetViews>
    <sheetView showGridLines="0" zoomScale="80" zoomScaleNormal="80" workbookViewId="0" topLeftCell="A1">
      <selection activeCell="D13" sqref="D13:D20"/>
    </sheetView>
  </sheetViews>
  <sheetFormatPr defaultColWidth="9.140625" defaultRowHeight="12.75"/>
  <cols>
    <col min="1" max="1" width="5.7109375" style="3" customWidth="1"/>
    <col min="2" max="2" width="17.7109375" style="3" customWidth="1"/>
    <col min="3" max="3" width="55.8515625" style="3" customWidth="1"/>
    <col min="4" max="4" width="15.28125" style="3" customWidth="1"/>
    <col min="5" max="5" width="14.57421875" style="3" customWidth="1"/>
    <col min="6" max="6" width="15.28125" style="3" customWidth="1"/>
    <col min="7" max="7" width="14.140625" style="3" customWidth="1"/>
    <col min="8" max="8" width="5.7109375" style="3" customWidth="1"/>
    <col min="9" max="9" width="20.140625" style="3" customWidth="1"/>
    <col min="10" max="16384" width="9.140625" style="3" customWidth="1"/>
  </cols>
  <sheetData>
    <row r="1" ht="12.75"/>
    <row r="2" spans="2:3" ht="23.25">
      <c r="B2" s="86" t="s">
        <v>410</v>
      </c>
      <c r="C2" s="87"/>
    </row>
    <row r="4" spans="2:7" ht="18">
      <c r="B4" s="88" t="s">
        <v>312</v>
      </c>
      <c r="G4" s="352" t="s">
        <v>394</v>
      </c>
    </row>
    <row r="6" spans="2:7" ht="38.25" customHeight="1">
      <c r="B6" s="378" t="s">
        <v>401</v>
      </c>
      <c r="C6" s="378"/>
      <c r="D6" s="378"/>
      <c r="E6" s="378"/>
      <c r="F6" s="378"/>
      <c r="G6" s="378"/>
    </row>
    <row r="7" spans="2:5" ht="12.75">
      <c r="B7" s="297"/>
      <c r="C7" s="297"/>
      <c r="D7" s="297"/>
      <c r="E7" s="297"/>
    </row>
    <row r="8" spans="2:7" ht="15.75">
      <c r="B8" s="380" t="s">
        <v>395</v>
      </c>
      <c r="C8" s="380" t="s">
        <v>313</v>
      </c>
      <c r="D8" s="382" t="s">
        <v>314</v>
      </c>
      <c r="E8" s="382"/>
      <c r="F8" s="382"/>
      <c r="G8" s="382"/>
    </row>
    <row r="9" spans="2:9" ht="38.25">
      <c r="B9" s="381"/>
      <c r="C9" s="381"/>
      <c r="D9" s="335" t="s">
        <v>396</v>
      </c>
      <c r="E9" s="336" t="s">
        <v>397</v>
      </c>
      <c r="F9" s="336" t="s">
        <v>316</v>
      </c>
      <c r="G9" s="336" t="s">
        <v>315</v>
      </c>
      <c r="I9" s="327" t="s">
        <v>403</v>
      </c>
    </row>
    <row r="10" spans="2:9" ht="33" customHeight="1">
      <c r="B10" s="337" t="s">
        <v>386</v>
      </c>
      <c r="C10" s="338" t="s">
        <v>398</v>
      </c>
      <c r="D10" s="339">
        <v>1</v>
      </c>
      <c r="E10" s="340">
        <v>1</v>
      </c>
      <c r="F10" s="341" t="s">
        <v>399</v>
      </c>
      <c r="G10" s="342">
        <f>D10</f>
        <v>1</v>
      </c>
      <c r="I10" s="328" t="str">
        <f>IF(D10=E10,IF(D11=E11,"Y","N"),"N")</f>
        <v>Y</v>
      </c>
    </row>
    <row r="11" spans="2:9" ht="33" customHeight="1">
      <c r="B11" s="343" t="s">
        <v>386</v>
      </c>
      <c r="C11" s="344" t="s">
        <v>400</v>
      </c>
      <c r="D11" s="345">
        <v>1</v>
      </c>
      <c r="E11" s="346">
        <v>1</v>
      </c>
      <c r="F11" s="347" t="s">
        <v>399</v>
      </c>
      <c r="G11" s="348">
        <f>D11</f>
        <v>1</v>
      </c>
      <c r="I11" s="329" t="str">
        <f>IF(D13=E13,IF(D14=E14,IF(D15=E15,IF(D16=E16,IF(D17=E17,IF(D18=E18,IF(D19=E19,IF(D20=E20,"Y","N"),"N"),"N"),"N"),"N"),"N"),"N"),"N")</f>
        <v>Y</v>
      </c>
    </row>
    <row r="12" spans="2:7" ht="12.75">
      <c r="B12" s="353"/>
      <c r="C12" s="353"/>
      <c r="D12" s="353"/>
      <c r="E12" s="353"/>
      <c r="F12" s="353"/>
      <c r="G12" s="353"/>
    </row>
    <row r="13" spans="2:9" ht="33" customHeight="1">
      <c r="B13" s="337" t="s">
        <v>402</v>
      </c>
      <c r="C13" s="337" t="s">
        <v>319</v>
      </c>
      <c r="D13" s="410">
        <v>83</v>
      </c>
      <c r="E13" s="354">
        <v>83</v>
      </c>
      <c r="F13" s="355" t="s">
        <v>320</v>
      </c>
      <c r="G13" s="333">
        <f>IF($I$11="Y",D13,E13)</f>
        <v>83</v>
      </c>
      <c r="I13" s="330" t="s">
        <v>404</v>
      </c>
    </row>
    <row r="14" spans="2:9" ht="33" customHeight="1">
      <c r="B14" s="325" t="s">
        <v>402</v>
      </c>
      <c r="C14" s="325" t="s">
        <v>326</v>
      </c>
      <c r="D14" s="411">
        <v>0.12</v>
      </c>
      <c r="E14" s="356">
        <v>0.12</v>
      </c>
      <c r="F14" s="357" t="s">
        <v>374</v>
      </c>
      <c r="G14" s="362">
        <f aca="true" t="shared" si="0" ref="G14:G20">IF($I$11="Y",D14,E14)</f>
        <v>0.12</v>
      </c>
      <c r="I14" s="331" t="s">
        <v>405</v>
      </c>
    </row>
    <row r="15" spans="2:9" ht="33" customHeight="1">
      <c r="B15" s="325" t="s">
        <v>402</v>
      </c>
      <c r="C15" s="326" t="s">
        <v>325</v>
      </c>
      <c r="D15" s="411">
        <v>0.07</v>
      </c>
      <c r="E15" s="356">
        <v>0.07</v>
      </c>
      <c r="F15" s="358" t="s">
        <v>375</v>
      </c>
      <c r="G15" s="362">
        <f t="shared" si="0"/>
        <v>0.07</v>
      </c>
      <c r="I15" s="332" t="s">
        <v>406</v>
      </c>
    </row>
    <row r="16" spans="2:7" ht="33" customHeight="1">
      <c r="B16" s="325" t="s">
        <v>402</v>
      </c>
      <c r="C16" s="325" t="s">
        <v>381</v>
      </c>
      <c r="D16" s="411">
        <v>0</v>
      </c>
      <c r="E16" s="356">
        <v>0</v>
      </c>
      <c r="F16" s="358" t="s">
        <v>376</v>
      </c>
      <c r="G16" s="362">
        <f t="shared" si="0"/>
        <v>0</v>
      </c>
    </row>
    <row r="17" spans="2:7" ht="33" customHeight="1">
      <c r="B17" s="325" t="s">
        <v>402</v>
      </c>
      <c r="C17" s="325" t="s">
        <v>382</v>
      </c>
      <c r="D17" s="411">
        <v>0</v>
      </c>
      <c r="E17" s="356">
        <v>0</v>
      </c>
      <c r="F17" s="358" t="s">
        <v>377</v>
      </c>
      <c r="G17" s="362">
        <f t="shared" si="0"/>
        <v>0</v>
      </c>
    </row>
    <row r="18" spans="2:7" ht="33" customHeight="1">
      <c r="B18" s="325" t="s">
        <v>402</v>
      </c>
      <c r="C18" s="325" t="s">
        <v>242</v>
      </c>
      <c r="D18" s="411">
        <v>0.02</v>
      </c>
      <c r="E18" s="356">
        <v>0.02</v>
      </c>
      <c r="F18" s="358" t="s">
        <v>378</v>
      </c>
      <c r="G18" s="362">
        <f t="shared" si="0"/>
        <v>0.02</v>
      </c>
    </row>
    <row r="19" spans="2:7" ht="33" customHeight="1">
      <c r="B19" s="325" t="s">
        <v>402</v>
      </c>
      <c r="C19" s="325" t="s">
        <v>383</v>
      </c>
      <c r="D19" s="411">
        <v>0</v>
      </c>
      <c r="E19" s="356">
        <v>0</v>
      </c>
      <c r="F19" s="358" t="s">
        <v>376</v>
      </c>
      <c r="G19" s="362">
        <f t="shared" si="0"/>
        <v>0</v>
      </c>
    </row>
    <row r="20" spans="2:7" ht="33" customHeight="1">
      <c r="B20" s="359" t="s">
        <v>402</v>
      </c>
      <c r="C20" s="343" t="s">
        <v>380</v>
      </c>
      <c r="D20" s="412">
        <v>0.25</v>
      </c>
      <c r="E20" s="360">
        <v>0.25</v>
      </c>
      <c r="F20" s="361" t="s">
        <v>379</v>
      </c>
      <c r="G20" s="363">
        <f t="shared" si="0"/>
        <v>0.25</v>
      </c>
    </row>
    <row r="21" spans="3:7" s="93" customFormat="1" ht="12.75">
      <c r="C21" s="47"/>
      <c r="D21" s="349"/>
      <c r="E21" s="334"/>
      <c r="F21" s="350"/>
      <c r="G21" s="351"/>
    </row>
    <row r="22" spans="2:7" ht="33" customHeight="1">
      <c r="B22" s="379">
        <f>IF(I10="N",IF(I11="N","Reminder: Please reset all summary parameters to original values before changing specific parameters.  Specific parameters will only be used in ERR computation when all summary parameters are set to initial values",0),0)</f>
        <v>0</v>
      </c>
      <c r="C22" s="379"/>
      <c r="D22" s="379"/>
      <c r="E22" s="379"/>
      <c r="F22" s="379"/>
      <c r="G22" s="379"/>
    </row>
    <row r="23" ht="12.75">
      <c r="C23" s="2"/>
    </row>
    <row r="24" spans="3:4" ht="12.75">
      <c r="C24" s="29" t="s">
        <v>317</v>
      </c>
      <c r="D24" s="367">
        <f>'Ag ERR'!H13</f>
        <v>0.09652920748676234</v>
      </c>
    </row>
    <row r="26" spans="3:4" ht="12.75">
      <c r="C26" s="364" t="s">
        <v>407</v>
      </c>
      <c r="D26" s="365">
        <v>0.097</v>
      </c>
    </row>
    <row r="27" spans="3:4" ht="12.75">
      <c r="C27" s="364"/>
      <c r="D27" s="366"/>
    </row>
    <row r="81" spans="2:6" ht="32.25" customHeight="1">
      <c r="B81" s="377" t="s">
        <v>412</v>
      </c>
      <c r="C81" s="377"/>
      <c r="D81" s="377"/>
      <c r="E81" s="377"/>
      <c r="F81" s="377"/>
    </row>
  </sheetData>
  <mergeCells count="6">
    <mergeCell ref="B81:F81"/>
    <mergeCell ref="B6:G6"/>
    <mergeCell ref="B22:G22"/>
    <mergeCell ref="B8:B9"/>
    <mergeCell ref="C8:C9"/>
    <mergeCell ref="D8:G8"/>
  </mergeCells>
  <conditionalFormatting sqref="B22">
    <cfRule type="cellIs" priority="1" dxfId="0" operator="equal" stopIfTrue="1">
      <formula>0</formula>
    </cfRule>
    <cfRule type="cellIs" priority="2" dxfId="1" operator="notEqual" stopIfTrue="1">
      <formula>0</formula>
    </cfRule>
  </conditionalFormatting>
  <hyperlinks>
    <hyperlink ref="I14" location="'Project Description'!A1" display="Project Description"/>
    <hyperlink ref="I15" location="'User''s Guide'!A1" display="User's Guide"/>
  </hyperlinks>
  <printOptions/>
  <pageMargins left="1.68" right="0.75" top="0.51" bottom="0.5" header="0.5" footer="0.5"/>
  <pageSetup fitToHeight="1" fitToWidth="1" horizontalDpi="600" verticalDpi="600" orientation="landscape" scale="84" r:id="rId4"/>
  <rowBreaks count="1" manualBreakCount="1">
    <brk id="22" max="255" man="1"/>
  </rowBreaks>
  <drawing r:id="rId2"/>
  <legacyDrawing r:id="rId1"/>
  <legacyDrawingHF r:id="rId3"/>
</worksheet>
</file>

<file path=xl/worksheets/sheet5.xml><?xml version="1.0" encoding="utf-8"?>
<worksheet xmlns="http://schemas.openxmlformats.org/spreadsheetml/2006/main" xmlns:r="http://schemas.openxmlformats.org/officeDocument/2006/relationships">
  <sheetPr codeName="Sheet3">
    <pageSetUpPr fitToPage="1"/>
  </sheetPr>
  <dimension ref="A1:U84"/>
  <sheetViews>
    <sheetView zoomScale="90" zoomScaleNormal="90" zoomScaleSheetLayoutView="100" workbookViewId="0" topLeftCell="A1">
      <pane xSplit="1" ySplit="19" topLeftCell="B20" activePane="bottomRight" state="frozen"/>
      <selection pane="topLeft" activeCell="A1" sqref="A1"/>
      <selection pane="topRight" activeCell="B1" sqref="B1"/>
      <selection pane="bottomLeft" activeCell="A11" sqref="A11"/>
      <selection pane="bottomRight" activeCell="G3" sqref="G3"/>
    </sheetView>
  </sheetViews>
  <sheetFormatPr defaultColWidth="9.140625" defaultRowHeight="12.75"/>
  <cols>
    <col min="1" max="1" width="38.7109375" style="100" customWidth="1"/>
    <col min="2" max="2" width="14.421875" style="3" bestFit="1" customWidth="1"/>
    <col min="3" max="5" width="13.00390625" style="3" bestFit="1" customWidth="1"/>
    <col min="6" max="9" width="12.8515625" style="3" bestFit="1" customWidth="1"/>
    <col min="10" max="10" width="14.00390625" style="3" customWidth="1"/>
    <col min="11" max="21" width="12.8515625" style="3" bestFit="1" customWidth="1"/>
    <col min="22" max="22" width="10.140625" style="3" bestFit="1" customWidth="1"/>
    <col min="23" max="23" width="10.00390625" style="3" bestFit="1" customWidth="1"/>
    <col min="24" max="16384" width="9.140625" style="3" customWidth="1"/>
  </cols>
  <sheetData>
    <row r="1" ht="20.25">
      <c r="A1" s="86" t="s">
        <v>318</v>
      </c>
    </row>
    <row r="2" ht="12.75">
      <c r="A2" s="3"/>
    </row>
    <row r="3" ht="18">
      <c r="A3" s="88" t="s">
        <v>321</v>
      </c>
    </row>
    <row r="4" spans="1:21" ht="15.75" customHeight="1">
      <c r="A4" s="385">
        <f>IF('ERR &amp; Sensitivity Analysis'!$I$10="N","Note: Current calculations are based on user input and are not the original MCC estimates.",IF('ERR &amp; Sensitivity Analysis'!$I$11="N","Note: Current calculations are based on user input and are not the original MCC estimates.",0))</f>
        <v>0</v>
      </c>
      <c r="B4" s="385"/>
      <c r="C4" s="385"/>
      <c r="D4" s="385"/>
      <c r="E4" s="385"/>
      <c r="F4" s="385"/>
      <c r="G4" s="13"/>
      <c r="H4" s="13"/>
      <c r="I4" s="13"/>
      <c r="J4" s="13"/>
      <c r="K4" s="13"/>
      <c r="L4" s="13"/>
      <c r="M4" s="13"/>
      <c r="N4" s="13"/>
      <c r="O4" s="13"/>
      <c r="P4" s="13"/>
      <c r="Q4" s="13"/>
      <c r="R4" s="13"/>
      <c r="S4" s="13"/>
      <c r="T4" s="13"/>
      <c r="U4" s="13"/>
    </row>
    <row r="5" spans="1:21" ht="15.75" customHeight="1">
      <c r="A5" s="16" t="s">
        <v>192</v>
      </c>
      <c r="B5" s="11"/>
      <c r="C5" s="13"/>
      <c r="D5" s="13"/>
      <c r="E5" s="13"/>
      <c r="F5" s="13"/>
      <c r="G5" s="13"/>
      <c r="H5" s="13"/>
      <c r="I5" s="13"/>
      <c r="J5" s="13"/>
      <c r="K5" s="13"/>
      <c r="L5" s="13"/>
      <c r="M5" s="13"/>
      <c r="N5" s="13"/>
      <c r="O5" s="13"/>
      <c r="P5" s="13"/>
      <c r="Q5" s="13"/>
      <c r="R5" s="13"/>
      <c r="S5" s="13"/>
      <c r="T5" s="13"/>
      <c r="U5" s="13"/>
    </row>
    <row r="6" spans="1:21" ht="15.75" customHeight="1">
      <c r="A6" s="16" t="s">
        <v>233</v>
      </c>
      <c r="B6" s="11"/>
      <c r="C6" s="13"/>
      <c r="D6" s="13"/>
      <c r="E6" s="13"/>
      <c r="F6" s="13"/>
      <c r="G6" s="13"/>
      <c r="H6" s="13"/>
      <c r="I6" s="13"/>
      <c r="J6" s="13"/>
      <c r="K6" s="13"/>
      <c r="L6" s="13"/>
      <c r="M6" s="13"/>
      <c r="N6" s="13"/>
      <c r="O6" s="13"/>
      <c r="P6" s="13"/>
      <c r="Q6" s="13"/>
      <c r="R6" s="13"/>
      <c r="S6" s="13"/>
      <c r="T6" s="13"/>
      <c r="U6" s="13"/>
    </row>
    <row r="7" spans="1:21" ht="15.75">
      <c r="A7" s="11"/>
      <c r="B7" s="93"/>
      <c r="C7" s="93"/>
      <c r="D7" s="93"/>
      <c r="E7" s="93"/>
      <c r="F7" s="93"/>
      <c r="G7" s="93"/>
      <c r="H7" s="93"/>
      <c r="I7" s="93"/>
      <c r="J7" s="93"/>
      <c r="K7" s="93"/>
      <c r="L7" s="93"/>
      <c r="M7" s="93"/>
      <c r="N7" s="93"/>
      <c r="O7" s="93"/>
      <c r="P7" s="93"/>
      <c r="Q7" s="93"/>
      <c r="R7" s="93"/>
      <c r="S7" s="93"/>
      <c r="T7" s="93"/>
      <c r="U7" s="93"/>
    </row>
    <row r="8" spans="1:21" ht="12.75">
      <c r="A8" s="114" t="s">
        <v>141</v>
      </c>
      <c r="B8" s="93"/>
      <c r="C8" s="93"/>
      <c r="D8" s="93"/>
      <c r="E8" s="93"/>
      <c r="F8" s="93"/>
      <c r="G8" s="383" t="s">
        <v>296</v>
      </c>
      <c r="H8" s="384"/>
      <c r="I8" s="93"/>
      <c r="J8" s="369" t="s">
        <v>408</v>
      </c>
      <c r="L8" s="93"/>
      <c r="M8" s="93"/>
      <c r="N8" s="93"/>
      <c r="O8" s="93"/>
      <c r="P8" s="93"/>
      <c r="Q8" s="93"/>
      <c r="R8" s="93"/>
      <c r="S8" s="94"/>
      <c r="T8" s="93"/>
      <c r="U8" s="93"/>
    </row>
    <row r="9" spans="1:21" ht="12.75">
      <c r="A9" s="17" t="s">
        <v>190</v>
      </c>
      <c r="B9" s="95">
        <f>'ERR &amp; Sensitivity Analysis'!G13</f>
        <v>83</v>
      </c>
      <c r="C9" s="93" t="s">
        <v>191</v>
      </c>
      <c r="D9" s="93"/>
      <c r="E9" s="93"/>
      <c r="F9" s="93"/>
      <c r="G9" s="383" t="s">
        <v>294</v>
      </c>
      <c r="H9" s="384"/>
      <c r="I9" s="93"/>
      <c r="J9" s="3" t="s">
        <v>398</v>
      </c>
      <c r="L9" s="93"/>
      <c r="M9" s="93"/>
      <c r="N9" s="368">
        <f>'ERR &amp; Sensitivity Analysis'!G10</f>
        <v>1</v>
      </c>
      <c r="O9" s="93"/>
      <c r="P9" s="93"/>
      <c r="Q9" s="93"/>
      <c r="R9" s="93"/>
      <c r="S9" s="93"/>
      <c r="T9" s="93"/>
      <c r="U9" s="93"/>
    </row>
    <row r="10" spans="1:21" ht="12.75">
      <c r="A10" s="96" t="s">
        <v>143</v>
      </c>
      <c r="B10" s="97">
        <f>'ERR &amp; Sensitivity Analysis'!G14</f>
        <v>0.12</v>
      </c>
      <c r="C10" s="3" t="s">
        <v>220</v>
      </c>
      <c r="D10" s="93"/>
      <c r="E10" s="93"/>
      <c r="F10" s="93"/>
      <c r="G10" s="49" t="s">
        <v>254</v>
      </c>
      <c r="H10" s="98">
        <f>U27</f>
        <v>0.10771945934300199</v>
      </c>
      <c r="I10" s="93"/>
      <c r="L10" s="93"/>
      <c r="M10" s="93"/>
      <c r="N10" s="93"/>
      <c r="O10" s="93"/>
      <c r="P10" s="93"/>
      <c r="Q10" s="93"/>
      <c r="R10" s="93"/>
      <c r="S10" s="93"/>
      <c r="T10" s="93"/>
      <c r="U10" s="93"/>
    </row>
    <row r="11" spans="1:21" ht="12.75">
      <c r="A11" s="96" t="s">
        <v>140</v>
      </c>
      <c r="B11" s="97">
        <f>'ERR &amp; Sensitivity Analysis'!G16</f>
        <v>0</v>
      </c>
      <c r="C11" s="3" t="s">
        <v>142</v>
      </c>
      <c r="D11" s="93"/>
      <c r="E11" s="93"/>
      <c r="F11" s="93"/>
      <c r="G11" s="49" t="s">
        <v>255</v>
      </c>
      <c r="H11" s="98">
        <f>U34</f>
        <v>0.07851082499920772</v>
      </c>
      <c r="I11" s="93"/>
      <c r="J11" s="369" t="s">
        <v>409</v>
      </c>
      <c r="L11" s="93"/>
      <c r="M11" s="93"/>
      <c r="N11" s="93"/>
      <c r="O11" s="93"/>
      <c r="P11" s="93"/>
      <c r="Q11" s="93"/>
      <c r="R11" s="93"/>
      <c r="S11" s="93"/>
      <c r="T11" s="93"/>
      <c r="U11" s="93"/>
    </row>
    <row r="12" spans="1:21" ht="12.75">
      <c r="A12" s="96" t="s">
        <v>237</v>
      </c>
      <c r="B12" s="97">
        <f>'ERR &amp; Sensitivity Analysis'!G17</f>
        <v>0</v>
      </c>
      <c r="C12" s="3" t="s">
        <v>238</v>
      </c>
      <c r="D12" s="93"/>
      <c r="E12" s="93"/>
      <c r="F12" s="93"/>
      <c r="G12" s="49" t="s">
        <v>179</v>
      </c>
      <c r="H12" s="98">
        <f>U41</f>
        <v>0.09881210429199427</v>
      </c>
      <c r="I12" s="93"/>
      <c r="J12" s="3" t="s">
        <v>400</v>
      </c>
      <c r="L12" s="93"/>
      <c r="M12" s="93"/>
      <c r="N12" s="368">
        <f>'ERR &amp; Sensitivity Analysis'!G11</f>
        <v>1</v>
      </c>
      <c r="O12" s="93"/>
      <c r="P12" s="93"/>
      <c r="Q12" s="93"/>
      <c r="R12" s="93"/>
      <c r="S12" s="93"/>
      <c r="T12" s="93"/>
      <c r="U12" s="93"/>
    </row>
    <row r="13" spans="1:21" ht="12.75">
      <c r="A13" s="96" t="s">
        <v>242</v>
      </c>
      <c r="B13" s="97">
        <f>'ERR &amp; Sensitivity Analysis'!G18</f>
        <v>0.02</v>
      </c>
      <c r="D13" s="93"/>
      <c r="E13" s="93"/>
      <c r="F13" s="93"/>
      <c r="G13" s="50" t="s">
        <v>232</v>
      </c>
      <c r="H13" s="51">
        <f>U21</f>
        <v>0.09652920748676234</v>
      </c>
      <c r="I13" s="93"/>
      <c r="L13" s="93"/>
      <c r="M13" s="93"/>
      <c r="N13" s="93"/>
      <c r="O13" s="93"/>
      <c r="P13" s="93"/>
      <c r="Q13" s="93"/>
      <c r="R13" s="93"/>
      <c r="S13" s="93"/>
      <c r="T13" s="93"/>
      <c r="U13" s="93"/>
    </row>
    <row r="14" spans="1:21" ht="12.75">
      <c r="A14" s="99" t="s">
        <v>311</v>
      </c>
      <c r="B14" s="97">
        <f>'ERR &amp; Sensitivity Analysis'!G19</f>
        <v>0</v>
      </c>
      <c r="C14" s="3" t="s">
        <v>238</v>
      </c>
      <c r="D14" s="93"/>
      <c r="E14" s="93"/>
      <c r="F14" s="93"/>
      <c r="G14" s="93"/>
      <c r="H14" s="93"/>
      <c r="I14" s="93"/>
      <c r="L14" s="93"/>
      <c r="M14" s="93"/>
      <c r="N14" s="93"/>
      <c r="O14" s="93"/>
      <c r="P14" s="93"/>
      <c r="Q14" s="93"/>
      <c r="R14" s="93"/>
      <c r="S14" s="93"/>
      <c r="T14" s="93"/>
      <c r="U14" s="93"/>
    </row>
    <row r="15" spans="4:21" ht="12.75" hidden="1">
      <c r="D15" s="93"/>
      <c r="E15" s="93"/>
      <c r="F15" s="93"/>
      <c r="G15" s="93"/>
      <c r="H15" s="93"/>
      <c r="I15" s="93"/>
      <c r="J15" s="93"/>
      <c r="K15" s="93"/>
      <c r="L15" s="93"/>
      <c r="M15" s="93"/>
      <c r="N15" s="93"/>
      <c r="O15" s="93"/>
      <c r="P15" s="93"/>
      <c r="Q15" s="93"/>
      <c r="R15" s="93"/>
      <c r="S15" s="93"/>
      <c r="T15" s="93"/>
      <c r="U15" s="93"/>
    </row>
    <row r="16" spans="4:21" ht="12.75" hidden="1">
      <c r="D16" s="93"/>
      <c r="E16" s="93"/>
      <c r="F16" s="93"/>
      <c r="I16" s="93"/>
      <c r="J16" s="93"/>
      <c r="K16" s="93"/>
      <c r="L16" s="93"/>
      <c r="M16" s="93"/>
      <c r="N16" s="93"/>
      <c r="O16" s="93"/>
      <c r="P16" s="93"/>
      <c r="Q16" s="93"/>
      <c r="R16" s="93"/>
      <c r="S16" s="93"/>
      <c r="T16" s="93"/>
      <c r="U16" s="93"/>
    </row>
    <row r="17" spans="1:21" ht="15.75" hidden="1">
      <c r="A17" s="12"/>
      <c r="B17" s="93"/>
      <c r="C17" s="93"/>
      <c r="D17" s="93"/>
      <c r="E17" s="93"/>
      <c r="F17" s="93"/>
      <c r="G17" s="93"/>
      <c r="H17" s="93"/>
      <c r="I17" s="93"/>
      <c r="J17" s="93"/>
      <c r="K17" s="93"/>
      <c r="L17" s="93"/>
      <c r="M17" s="93"/>
      <c r="N17" s="93"/>
      <c r="O17" s="93"/>
      <c r="P17" s="93"/>
      <c r="Q17" s="93"/>
      <c r="R17" s="93"/>
      <c r="S17" s="93"/>
      <c r="T17" s="93"/>
      <c r="U17" s="93"/>
    </row>
    <row r="18" spans="1:21" ht="12.75" hidden="1">
      <c r="A18" s="101"/>
      <c r="B18" s="93"/>
      <c r="C18" s="93"/>
      <c r="D18" s="93"/>
      <c r="E18" s="93"/>
      <c r="F18" s="93"/>
      <c r="G18" s="93"/>
      <c r="H18" s="93"/>
      <c r="I18" s="93"/>
      <c r="J18" s="93"/>
      <c r="K18" s="93"/>
      <c r="L18" s="93"/>
      <c r="M18" s="93"/>
      <c r="N18" s="93"/>
      <c r="O18" s="93"/>
      <c r="P18" s="93"/>
      <c r="Q18" s="93"/>
      <c r="R18" s="93"/>
      <c r="S18" s="93"/>
      <c r="T18" s="93"/>
      <c r="U18" s="93"/>
    </row>
    <row r="19" spans="1:21" ht="12.75">
      <c r="A19" s="102"/>
      <c r="B19" s="103" t="s">
        <v>61</v>
      </c>
      <c r="C19" s="104" t="s">
        <v>62</v>
      </c>
      <c r="D19" s="104" t="s">
        <v>63</v>
      </c>
      <c r="E19" s="104" t="s">
        <v>144</v>
      </c>
      <c r="F19" s="104" t="s">
        <v>145</v>
      </c>
      <c r="G19" s="104" t="s">
        <v>146</v>
      </c>
      <c r="H19" s="104" t="s">
        <v>147</v>
      </c>
      <c r="I19" s="104" t="s">
        <v>148</v>
      </c>
      <c r="J19" s="104" t="s">
        <v>149</v>
      </c>
      <c r="K19" s="104" t="s">
        <v>150</v>
      </c>
      <c r="L19" s="104" t="s">
        <v>151</v>
      </c>
      <c r="M19" s="104" t="s">
        <v>152</v>
      </c>
      <c r="N19" s="104" t="s">
        <v>153</v>
      </c>
      <c r="O19" s="104" t="s">
        <v>154</v>
      </c>
      <c r="P19" s="104" t="s">
        <v>155</v>
      </c>
      <c r="Q19" s="104" t="s">
        <v>156</v>
      </c>
      <c r="R19" s="104" t="s">
        <v>157</v>
      </c>
      <c r="S19" s="104" t="s">
        <v>158</v>
      </c>
      <c r="T19" s="104" t="s">
        <v>159</v>
      </c>
      <c r="U19" s="104" t="s">
        <v>160</v>
      </c>
    </row>
    <row r="20" spans="1:21" ht="13.5" thickBot="1">
      <c r="A20" s="105"/>
      <c r="B20" s="47"/>
      <c r="C20" s="47"/>
      <c r="D20" s="47"/>
      <c r="E20" s="47"/>
      <c r="F20" s="47"/>
      <c r="G20" s="47"/>
      <c r="H20" s="47"/>
      <c r="I20" s="47"/>
      <c r="J20" s="47"/>
      <c r="K20" s="47"/>
      <c r="L20" s="47"/>
      <c r="M20" s="47"/>
      <c r="N20" s="47"/>
      <c r="O20" s="47"/>
      <c r="P20" s="47"/>
      <c r="Q20" s="47"/>
      <c r="R20" s="47"/>
      <c r="S20" s="47"/>
      <c r="T20" s="47"/>
      <c r="U20" s="47"/>
    </row>
    <row r="21" spans="1:21" s="106" customFormat="1" ht="13.5" thickBot="1">
      <c r="A21" s="115" t="s">
        <v>162</v>
      </c>
      <c r="K21" s="23">
        <f>IRR(B22:K22)</f>
        <v>-0.017739515489690705</v>
      </c>
      <c r="P21" s="23">
        <f>IRR(B22:P22)</f>
        <v>0.06818344047397787</v>
      </c>
      <c r="Q21" s="22"/>
      <c r="R21" s="22"/>
      <c r="S21" s="22"/>
      <c r="T21" s="22"/>
      <c r="U21" s="24">
        <f>IRR(B22:U22)</f>
        <v>0.09652920748676234</v>
      </c>
    </row>
    <row r="22" spans="1:21" ht="12.75">
      <c r="A22" s="116" t="s">
        <v>163</v>
      </c>
      <c r="B22" s="107">
        <f>B28+B35+B42</f>
        <v>-3549405.3222300913</v>
      </c>
      <c r="C22" s="107">
        <f aca="true" t="shared" si="0" ref="C22:U22">C28+C35+C42</f>
        <v>-3840524.222230868</v>
      </c>
      <c r="D22" s="107">
        <f t="shared" si="0"/>
        <v>-2080195.0595540523</v>
      </c>
      <c r="E22" s="107">
        <f t="shared" si="0"/>
        <v>-42769.23211574601</v>
      </c>
      <c r="F22" s="107">
        <f t="shared" si="0"/>
        <v>1018161.9291146394</v>
      </c>
      <c r="G22" s="107">
        <f t="shared" si="0"/>
        <v>1511092.3230015705</v>
      </c>
      <c r="H22" s="107">
        <f t="shared" si="0"/>
        <v>1511092.3230015705</v>
      </c>
      <c r="I22" s="107">
        <f t="shared" si="0"/>
        <v>1511092.3230015705</v>
      </c>
      <c r="J22" s="107">
        <f t="shared" si="0"/>
        <v>1511092.3230015705</v>
      </c>
      <c r="K22" s="107">
        <f t="shared" si="0"/>
        <v>1511092.3230015705</v>
      </c>
      <c r="L22" s="107">
        <f t="shared" si="0"/>
        <v>1511092.3230015705</v>
      </c>
      <c r="M22" s="107">
        <f t="shared" si="0"/>
        <v>1511092.3230015705</v>
      </c>
      <c r="N22" s="107">
        <f t="shared" si="0"/>
        <v>1511092.3230015705</v>
      </c>
      <c r="O22" s="107">
        <f t="shared" si="0"/>
        <v>1511092.3230015705</v>
      </c>
      <c r="P22" s="107">
        <f t="shared" si="0"/>
        <v>1511092.3230015705</v>
      </c>
      <c r="Q22" s="107">
        <f t="shared" si="0"/>
        <v>1511092.3230015705</v>
      </c>
      <c r="R22" s="107">
        <f t="shared" si="0"/>
        <v>1511092.3230015705</v>
      </c>
      <c r="S22" s="107">
        <f t="shared" si="0"/>
        <v>1511092.3230015705</v>
      </c>
      <c r="T22" s="107">
        <f t="shared" si="0"/>
        <v>1511092.3230015705</v>
      </c>
      <c r="U22" s="107">
        <f t="shared" si="0"/>
        <v>1511092.3230015705</v>
      </c>
    </row>
    <row r="23" spans="1:21" ht="12.75">
      <c r="A23" s="116" t="s">
        <v>298</v>
      </c>
      <c r="B23" s="107">
        <f>B29+B30+B31+B36+B37+B38+B43+B44+B45</f>
        <v>0</v>
      </c>
      <c r="C23" s="107">
        <f aca="true" t="shared" si="1" ref="C23:U23">C29+C30+C31+C36+C37+C38+C43+C44+C45</f>
        <v>379439.74741705926</v>
      </c>
      <c r="D23" s="107">
        <f t="shared" si="1"/>
        <v>765546.1615007853</v>
      </c>
      <c r="E23" s="107">
        <f t="shared" si="1"/>
        <v>1142819.242251178</v>
      </c>
      <c r="F23" s="107">
        <f t="shared" si="1"/>
        <v>1511092.3230015703</v>
      </c>
      <c r="G23" s="107">
        <f t="shared" si="1"/>
        <v>1511092.3230015703</v>
      </c>
      <c r="H23" s="107">
        <f t="shared" si="1"/>
        <v>1511092.3230015703</v>
      </c>
      <c r="I23" s="107">
        <f t="shared" si="1"/>
        <v>1511092.3230015703</v>
      </c>
      <c r="J23" s="107">
        <f t="shared" si="1"/>
        <v>1511092.3230015703</v>
      </c>
      <c r="K23" s="107">
        <f t="shared" si="1"/>
        <v>1511092.3230015703</v>
      </c>
      <c r="L23" s="107">
        <f t="shared" si="1"/>
        <v>1511092.3230015703</v>
      </c>
      <c r="M23" s="107">
        <f t="shared" si="1"/>
        <v>1511092.3230015703</v>
      </c>
      <c r="N23" s="107">
        <f t="shared" si="1"/>
        <v>1511092.3230015703</v>
      </c>
      <c r="O23" s="107">
        <f t="shared" si="1"/>
        <v>1511092.3230015703</v>
      </c>
      <c r="P23" s="107">
        <f t="shared" si="1"/>
        <v>1511092.3230015703</v>
      </c>
      <c r="Q23" s="107">
        <f t="shared" si="1"/>
        <v>1511092.3230015703</v>
      </c>
      <c r="R23" s="107">
        <f t="shared" si="1"/>
        <v>1511092.3230015703</v>
      </c>
      <c r="S23" s="107">
        <f t="shared" si="1"/>
        <v>1511092.3230015703</v>
      </c>
      <c r="T23" s="107">
        <f t="shared" si="1"/>
        <v>1511092.3230015703</v>
      </c>
      <c r="U23" s="107">
        <f t="shared" si="1"/>
        <v>1511092.3230015703</v>
      </c>
    </row>
    <row r="24" spans="1:21" ht="12.75">
      <c r="A24" s="116" t="s">
        <v>299</v>
      </c>
      <c r="B24" s="107">
        <f>B29+B36+B43</f>
        <v>0</v>
      </c>
      <c r="C24" s="107">
        <f>C29+C36+C43</f>
        <v>368273.08075039263</v>
      </c>
      <c r="D24" s="107">
        <f aca="true" t="shared" si="2" ref="D24:U24">D29+D36+D43</f>
        <v>736546.1615007853</v>
      </c>
      <c r="E24" s="107">
        <f t="shared" si="2"/>
        <v>1104819.2422511778</v>
      </c>
      <c r="F24" s="107">
        <f t="shared" si="2"/>
        <v>1473092.3230015705</v>
      </c>
      <c r="G24" s="107">
        <f t="shared" si="2"/>
        <v>1473092.3230015705</v>
      </c>
      <c r="H24" s="107">
        <f t="shared" si="2"/>
        <v>1473092.3230015705</v>
      </c>
      <c r="I24" s="107">
        <f t="shared" si="2"/>
        <v>1473092.3230015705</v>
      </c>
      <c r="J24" s="107">
        <f t="shared" si="2"/>
        <v>1473092.3230015705</v>
      </c>
      <c r="K24" s="107">
        <f t="shared" si="2"/>
        <v>1473092.3230015705</v>
      </c>
      <c r="L24" s="107">
        <f t="shared" si="2"/>
        <v>1473092.3230015705</v>
      </c>
      <c r="M24" s="107">
        <f t="shared" si="2"/>
        <v>1473092.3230015705</v>
      </c>
      <c r="N24" s="107">
        <f t="shared" si="2"/>
        <v>1473092.3230015705</v>
      </c>
      <c r="O24" s="107">
        <f t="shared" si="2"/>
        <v>1473092.3230015705</v>
      </c>
      <c r="P24" s="107">
        <f t="shared" si="2"/>
        <v>1473092.3230015705</v>
      </c>
      <c r="Q24" s="107">
        <f t="shared" si="2"/>
        <v>1473092.3230015705</v>
      </c>
      <c r="R24" s="107">
        <f t="shared" si="2"/>
        <v>1473092.3230015705</v>
      </c>
      <c r="S24" s="107">
        <f t="shared" si="2"/>
        <v>1473092.3230015705</v>
      </c>
      <c r="T24" s="107">
        <f t="shared" si="2"/>
        <v>1473092.3230015705</v>
      </c>
      <c r="U24" s="107">
        <f t="shared" si="2"/>
        <v>1473092.3230015705</v>
      </c>
    </row>
    <row r="25" spans="1:21" ht="12.75">
      <c r="A25" s="116" t="s">
        <v>300</v>
      </c>
      <c r="B25" s="107">
        <f>B30+B31+B37+B38+B44+B45</f>
        <v>0</v>
      </c>
      <c r="C25" s="107">
        <f aca="true" t="shared" si="3" ref="C25:U25">C30+C31+C37+C38+C44+C45</f>
        <v>11166.666666666666</v>
      </c>
      <c r="D25" s="107">
        <f t="shared" si="3"/>
        <v>28999.999999999996</v>
      </c>
      <c r="E25" s="107">
        <f t="shared" si="3"/>
        <v>38000</v>
      </c>
      <c r="F25" s="107">
        <f t="shared" si="3"/>
        <v>38000</v>
      </c>
      <c r="G25" s="107">
        <f t="shared" si="3"/>
        <v>38000</v>
      </c>
      <c r="H25" s="107">
        <f t="shared" si="3"/>
        <v>38000</v>
      </c>
      <c r="I25" s="107">
        <f t="shared" si="3"/>
        <v>38000</v>
      </c>
      <c r="J25" s="107">
        <f t="shared" si="3"/>
        <v>38000</v>
      </c>
      <c r="K25" s="107">
        <f t="shared" si="3"/>
        <v>38000</v>
      </c>
      <c r="L25" s="107">
        <f t="shared" si="3"/>
        <v>38000</v>
      </c>
      <c r="M25" s="107">
        <f t="shared" si="3"/>
        <v>38000</v>
      </c>
      <c r="N25" s="107">
        <f t="shared" si="3"/>
        <v>38000</v>
      </c>
      <c r="O25" s="107">
        <f t="shared" si="3"/>
        <v>38000</v>
      </c>
      <c r="P25" s="107">
        <f t="shared" si="3"/>
        <v>38000</v>
      </c>
      <c r="Q25" s="107">
        <f t="shared" si="3"/>
        <v>38000</v>
      </c>
      <c r="R25" s="107">
        <f t="shared" si="3"/>
        <v>38000</v>
      </c>
      <c r="S25" s="107">
        <f t="shared" si="3"/>
        <v>38000</v>
      </c>
      <c r="T25" s="107">
        <f t="shared" si="3"/>
        <v>38000</v>
      </c>
      <c r="U25" s="107">
        <f t="shared" si="3"/>
        <v>38000</v>
      </c>
    </row>
    <row r="26" spans="1:21" ht="13.5" thickBot="1">
      <c r="A26" s="116"/>
      <c r="B26" s="107"/>
      <c r="C26" s="107"/>
      <c r="D26" s="107"/>
      <c r="E26" s="107"/>
      <c r="F26" s="107"/>
      <c r="G26" s="107"/>
      <c r="H26" s="107"/>
      <c r="I26" s="107"/>
      <c r="J26" s="107"/>
      <c r="K26" s="107"/>
      <c r="L26" s="107"/>
      <c r="M26" s="107"/>
      <c r="N26" s="107"/>
      <c r="O26" s="107"/>
      <c r="P26" s="107"/>
      <c r="Q26" s="107"/>
      <c r="R26" s="107"/>
      <c r="S26" s="107"/>
      <c r="T26" s="107"/>
      <c r="U26" s="107"/>
    </row>
    <row r="27" spans="1:21" s="108" customFormat="1" ht="13.5" thickBot="1">
      <c r="A27" s="117" t="s">
        <v>182</v>
      </c>
      <c r="K27" s="23">
        <f>IRR(B28:K28)</f>
        <v>-0.00017471347803651945</v>
      </c>
      <c r="P27" s="23">
        <f>IRR(B28:P28)</f>
        <v>0.08127349780471699</v>
      </c>
      <c r="Q27" s="15"/>
      <c r="R27" s="15"/>
      <c r="S27" s="15"/>
      <c r="T27" s="15"/>
      <c r="U27" s="24">
        <f>IRR(B28:U28)</f>
        <v>0.10771945934300199</v>
      </c>
    </row>
    <row r="28" spans="1:21" ht="12.75">
      <c r="A28" s="116" t="s">
        <v>163</v>
      </c>
      <c r="B28" s="107">
        <f>B29+B30+B31-B32</f>
        <v>-1554997.2031919456</v>
      </c>
      <c r="C28" s="107">
        <f aca="true" t="shared" si="4" ref="C28:U28">C29+C30+C31-C32</f>
        <v>-1890764.7107246658</v>
      </c>
      <c r="D28" s="107">
        <f t="shared" si="4"/>
        <v>-860237.326297886</v>
      </c>
      <c r="E28" s="107">
        <f t="shared" si="4"/>
        <v>105342.10352683201</v>
      </c>
      <c r="F28" s="107">
        <f t="shared" si="4"/>
        <v>573595.0275731203</v>
      </c>
      <c r="G28" s="107">
        <f t="shared" si="4"/>
        <v>724560.6067616736</v>
      </c>
      <c r="H28" s="107">
        <f t="shared" si="4"/>
        <v>724560.6067616736</v>
      </c>
      <c r="I28" s="107">
        <f t="shared" si="4"/>
        <v>724560.6067616736</v>
      </c>
      <c r="J28" s="107">
        <f t="shared" si="4"/>
        <v>724560.6067616736</v>
      </c>
      <c r="K28" s="107">
        <f t="shared" si="4"/>
        <v>724560.6067616736</v>
      </c>
      <c r="L28" s="107">
        <f t="shared" si="4"/>
        <v>724560.6067616736</v>
      </c>
      <c r="M28" s="107">
        <f t="shared" si="4"/>
        <v>724560.6067616736</v>
      </c>
      <c r="N28" s="107">
        <f t="shared" si="4"/>
        <v>724560.6067616736</v>
      </c>
      <c r="O28" s="107">
        <f t="shared" si="4"/>
        <v>724560.6067616736</v>
      </c>
      <c r="P28" s="107">
        <f t="shared" si="4"/>
        <v>724560.6067616736</v>
      </c>
      <c r="Q28" s="107">
        <f t="shared" si="4"/>
        <v>724560.6067616736</v>
      </c>
      <c r="R28" s="107">
        <f t="shared" si="4"/>
        <v>724560.6067616736</v>
      </c>
      <c r="S28" s="107">
        <f t="shared" si="4"/>
        <v>724560.6067616736</v>
      </c>
      <c r="T28" s="107">
        <f t="shared" si="4"/>
        <v>724560.6067616736</v>
      </c>
      <c r="U28" s="107">
        <f t="shared" si="4"/>
        <v>724560.6067616736</v>
      </c>
    </row>
    <row r="29" spans="1:21" ht="12.75">
      <c r="A29" s="105" t="s">
        <v>297</v>
      </c>
      <c r="B29" s="109">
        <f>(B59+B61+B63+B65)*$N$12</f>
        <v>0</v>
      </c>
      <c r="C29" s="109">
        <f aca="true" t="shared" si="5" ref="C29:U29">(C59+C61+C63+C65)*$N$12</f>
        <v>177266.63978565647</v>
      </c>
      <c r="D29" s="109">
        <f t="shared" si="5"/>
        <v>354533.27957131295</v>
      </c>
      <c r="E29" s="109">
        <f t="shared" si="5"/>
        <v>531799.9193569694</v>
      </c>
      <c r="F29" s="109">
        <f t="shared" si="5"/>
        <v>709066.5591426259</v>
      </c>
      <c r="G29" s="109">
        <f t="shared" si="5"/>
        <v>709066.5591426259</v>
      </c>
      <c r="H29" s="109">
        <f t="shared" si="5"/>
        <v>709066.5591426259</v>
      </c>
      <c r="I29" s="109">
        <f t="shared" si="5"/>
        <v>709066.5591426259</v>
      </c>
      <c r="J29" s="109">
        <f t="shared" si="5"/>
        <v>709066.5591426259</v>
      </c>
      <c r="K29" s="109">
        <f t="shared" si="5"/>
        <v>709066.5591426259</v>
      </c>
      <c r="L29" s="109">
        <f t="shared" si="5"/>
        <v>709066.5591426259</v>
      </c>
      <c r="M29" s="109">
        <f t="shared" si="5"/>
        <v>709066.5591426259</v>
      </c>
      <c r="N29" s="109">
        <f t="shared" si="5"/>
        <v>709066.5591426259</v>
      </c>
      <c r="O29" s="109">
        <f t="shared" si="5"/>
        <v>709066.5591426259</v>
      </c>
      <c r="P29" s="109">
        <f t="shared" si="5"/>
        <v>709066.5591426259</v>
      </c>
      <c r="Q29" s="109">
        <f t="shared" si="5"/>
        <v>709066.5591426259</v>
      </c>
      <c r="R29" s="109">
        <f t="shared" si="5"/>
        <v>709066.5591426259</v>
      </c>
      <c r="S29" s="109">
        <f t="shared" si="5"/>
        <v>709066.5591426259</v>
      </c>
      <c r="T29" s="109">
        <f t="shared" si="5"/>
        <v>709066.5591426259</v>
      </c>
      <c r="U29" s="109">
        <f t="shared" si="5"/>
        <v>709066.5591426259</v>
      </c>
    </row>
    <row r="30" spans="1:21" ht="12.75">
      <c r="A30" s="105" t="s">
        <v>259</v>
      </c>
      <c r="B30" s="109">
        <f>(MFIs!B15)*$N$12</f>
        <v>0</v>
      </c>
      <c r="C30" s="109">
        <f>(MFIs!C15)*$N$12</f>
        <v>1116.0714285714284</v>
      </c>
      <c r="D30" s="109">
        <f>(MFIs!D15)*$N$12</f>
        <v>7142.857142857142</v>
      </c>
      <c r="E30" s="109">
        <f>(MFIs!E15)*$N$12</f>
        <v>11160.714285714284</v>
      </c>
      <c r="F30" s="109">
        <f>(MFIs!F15)*$N$12</f>
        <v>11160.714285714284</v>
      </c>
      <c r="G30" s="109">
        <f>(MFIs!G15)*$N$12</f>
        <v>11160.714285714284</v>
      </c>
      <c r="H30" s="109">
        <f>(MFIs!H15)*$N$12</f>
        <v>11160.714285714284</v>
      </c>
      <c r="I30" s="109">
        <f>(MFIs!I15)*$N$12</f>
        <v>11160.714285714284</v>
      </c>
      <c r="J30" s="109">
        <f>(MFIs!J15)*$N$12</f>
        <v>11160.714285714284</v>
      </c>
      <c r="K30" s="109">
        <f>(MFIs!K15)*$N$12</f>
        <v>11160.714285714284</v>
      </c>
      <c r="L30" s="109">
        <f>(MFIs!L15)*$N$12</f>
        <v>11160.714285714284</v>
      </c>
      <c r="M30" s="109">
        <f>(MFIs!M15)*$N$12</f>
        <v>11160.714285714284</v>
      </c>
      <c r="N30" s="109">
        <f>(MFIs!N15)*$N$12</f>
        <v>11160.714285714284</v>
      </c>
      <c r="O30" s="109">
        <f>(MFIs!O15)*$N$12</f>
        <v>11160.714285714284</v>
      </c>
      <c r="P30" s="109">
        <f>(MFIs!P15)*$N$12</f>
        <v>11160.714285714284</v>
      </c>
      <c r="Q30" s="109">
        <f>(MFIs!Q15)*$N$12</f>
        <v>11160.714285714284</v>
      </c>
      <c r="R30" s="109">
        <f>(MFIs!R15)*$N$12</f>
        <v>11160.714285714284</v>
      </c>
      <c r="S30" s="109">
        <f>(MFIs!S15)*$N$12</f>
        <v>11160.714285714284</v>
      </c>
      <c r="T30" s="109">
        <f>(MFIs!T15)*$N$12</f>
        <v>11160.714285714284</v>
      </c>
      <c r="U30" s="109">
        <f>(MFIs!U15)*$N$12</f>
        <v>11160.714285714284</v>
      </c>
    </row>
    <row r="31" spans="1:21" ht="12.75">
      <c r="A31" s="105" t="s">
        <v>260</v>
      </c>
      <c r="B31" s="109">
        <f>(Agribusiness!B16)*$N$12</f>
        <v>0</v>
      </c>
      <c r="C31" s="109">
        <f>(Agribusiness!C16)*$N$12</f>
        <v>2888.8888888888887</v>
      </c>
      <c r="D31" s="109">
        <f>(Agribusiness!D16)*$N$12</f>
        <v>4333.333333333333</v>
      </c>
      <c r="E31" s="109">
        <f>(Agribusiness!E16)*$N$12</f>
        <v>4333.333333333333</v>
      </c>
      <c r="F31" s="109">
        <f>(Agribusiness!F16)*$N$12</f>
        <v>4333.333333333333</v>
      </c>
      <c r="G31" s="109">
        <f>(Agribusiness!G16)*$N$12</f>
        <v>4333.333333333333</v>
      </c>
      <c r="H31" s="109">
        <f>(Agribusiness!H16)*$N$12</f>
        <v>4333.333333333333</v>
      </c>
      <c r="I31" s="109">
        <f>(Agribusiness!I16)*$N$12</f>
        <v>4333.333333333333</v>
      </c>
      <c r="J31" s="109">
        <f>(Agribusiness!J16)*$N$12</f>
        <v>4333.333333333333</v>
      </c>
      <c r="K31" s="109">
        <f>(Agribusiness!K16)*$N$12</f>
        <v>4333.333333333333</v>
      </c>
      <c r="L31" s="109">
        <f>(Agribusiness!L16)*$N$12</f>
        <v>4333.333333333333</v>
      </c>
      <c r="M31" s="109">
        <f>(Agribusiness!M16)*$N$12</f>
        <v>4333.333333333333</v>
      </c>
      <c r="N31" s="109">
        <f>(Agribusiness!N16)*$N$12</f>
        <v>4333.333333333333</v>
      </c>
      <c r="O31" s="109">
        <f>(Agribusiness!O16)*$N$12</f>
        <v>4333.333333333333</v>
      </c>
      <c r="P31" s="109">
        <f>(Agribusiness!P16)*$N$12</f>
        <v>4333.333333333333</v>
      </c>
      <c r="Q31" s="109">
        <f>(Agribusiness!Q16)*$N$12</f>
        <v>4333.333333333333</v>
      </c>
      <c r="R31" s="109">
        <f>(Agribusiness!R16)*$N$12</f>
        <v>4333.333333333333</v>
      </c>
      <c r="S31" s="109">
        <f>(Agribusiness!S16)*$N$12</f>
        <v>4333.333333333333</v>
      </c>
      <c r="T31" s="109">
        <f>(Agribusiness!T16)*$N$12</f>
        <v>4333.333333333333</v>
      </c>
      <c r="U31" s="109">
        <f>(Agribusiness!U16)*$N$12</f>
        <v>4333.333333333333</v>
      </c>
    </row>
    <row r="32" spans="1:21" ht="12.75">
      <c r="A32" s="105" t="s">
        <v>256</v>
      </c>
      <c r="B32" s="107">
        <f>('Program Costs'!B20)*$N$9</f>
        <v>1554997.2031919456</v>
      </c>
      <c r="C32" s="107">
        <f>('Program Costs'!C20)*$N$9</f>
        <v>2072036.3108277826</v>
      </c>
      <c r="D32" s="107">
        <f>('Program Costs'!D20)*$N$9</f>
        <v>1226246.7963453894</v>
      </c>
      <c r="E32" s="107">
        <f>('Program Costs'!E20)*$N$9</f>
        <v>441951.8634491851</v>
      </c>
      <c r="F32" s="107">
        <f>('Program Costs'!F20)*$N$9</f>
        <v>150965.57918855333</v>
      </c>
      <c r="G32" s="47"/>
      <c r="H32" s="47"/>
      <c r="I32" s="47"/>
      <c r="J32" s="47"/>
      <c r="K32" s="47"/>
      <c r="L32" s="47"/>
      <c r="M32" s="47"/>
      <c r="N32" s="47"/>
      <c r="O32" s="47"/>
      <c r="P32" s="47"/>
      <c r="Q32" s="47"/>
      <c r="R32" s="47"/>
      <c r="S32" s="47"/>
      <c r="T32" s="47"/>
      <c r="U32" s="47"/>
    </row>
    <row r="33" spans="1:21" ht="13.5" thickBot="1">
      <c r="A33" s="105"/>
      <c r="B33" s="47"/>
      <c r="C33" s="47"/>
      <c r="D33" s="47"/>
      <c r="E33" s="47"/>
      <c r="F33" s="47"/>
      <c r="G33" s="47"/>
      <c r="H33" s="47"/>
      <c r="I33" s="47"/>
      <c r="J33" s="47"/>
      <c r="K33" s="47"/>
      <c r="L33" s="47"/>
      <c r="M33" s="47"/>
      <c r="N33" s="47"/>
      <c r="O33" s="47"/>
      <c r="P33" s="47"/>
      <c r="Q33" s="47"/>
      <c r="R33" s="47"/>
      <c r="S33" s="47"/>
      <c r="T33" s="47"/>
      <c r="U33" s="47"/>
    </row>
    <row r="34" spans="1:21" s="108" customFormat="1" ht="13.5" thickBot="1">
      <c r="A34" s="117" t="s">
        <v>183</v>
      </c>
      <c r="K34" s="23">
        <f>IRR(B35:K35)</f>
        <v>-0.04309568724850468</v>
      </c>
      <c r="P34" s="23">
        <f>IRR(B35:P35)</f>
        <v>0.04753645991564175</v>
      </c>
      <c r="Q34" s="15"/>
      <c r="R34" s="15"/>
      <c r="S34" s="15"/>
      <c r="T34" s="15"/>
      <c r="U34" s="24">
        <f>IRR(B35:U35)</f>
        <v>0.07851082499920772</v>
      </c>
    </row>
    <row r="35" spans="1:21" ht="12.75">
      <c r="A35" s="116" t="s">
        <v>163</v>
      </c>
      <c r="B35" s="107">
        <f>B36+B37+B38-B39</f>
        <v>-1240770.0067511932</v>
      </c>
      <c r="C35" s="107">
        <f aca="true" t="shared" si="6" ref="C35:U35">C36+C37+C38-C39</f>
        <v>-1127876.2285541156</v>
      </c>
      <c r="D35" s="107">
        <f t="shared" si="6"/>
        <v>-680146.9832166979</v>
      </c>
      <c r="E35" s="107">
        <f t="shared" si="6"/>
        <v>-109614.89007066359</v>
      </c>
      <c r="F35" s="107">
        <f t="shared" si="6"/>
        <v>315229.55055756395</v>
      </c>
      <c r="G35" s="107">
        <f t="shared" si="6"/>
        <v>426936.8140302823</v>
      </c>
      <c r="H35" s="107">
        <f t="shared" si="6"/>
        <v>426936.8140302823</v>
      </c>
      <c r="I35" s="107">
        <f t="shared" si="6"/>
        <v>426936.8140302823</v>
      </c>
      <c r="J35" s="107">
        <f t="shared" si="6"/>
        <v>426936.8140302823</v>
      </c>
      <c r="K35" s="107">
        <f t="shared" si="6"/>
        <v>426936.8140302823</v>
      </c>
      <c r="L35" s="107">
        <f t="shared" si="6"/>
        <v>426936.8140302823</v>
      </c>
      <c r="M35" s="107">
        <f t="shared" si="6"/>
        <v>426936.8140302823</v>
      </c>
      <c r="N35" s="107">
        <f t="shared" si="6"/>
        <v>426936.8140302823</v>
      </c>
      <c r="O35" s="107">
        <f t="shared" si="6"/>
        <v>426936.8140302823</v>
      </c>
      <c r="P35" s="107">
        <f t="shared" si="6"/>
        <v>426936.8140302823</v>
      </c>
      <c r="Q35" s="107">
        <f t="shared" si="6"/>
        <v>426936.8140302823</v>
      </c>
      <c r="R35" s="107">
        <f t="shared" si="6"/>
        <v>426936.8140302823</v>
      </c>
      <c r="S35" s="107">
        <f t="shared" si="6"/>
        <v>426936.8140302823</v>
      </c>
      <c r="T35" s="107">
        <f t="shared" si="6"/>
        <v>426936.8140302823</v>
      </c>
      <c r="U35" s="107">
        <f t="shared" si="6"/>
        <v>426936.8140302823</v>
      </c>
    </row>
    <row r="36" spans="1:21" ht="12.75">
      <c r="A36" s="105" t="s">
        <v>263</v>
      </c>
      <c r="B36" s="107">
        <f>(B69+B71+B73+B75)*$N$12</f>
        <v>0</v>
      </c>
      <c r="C36" s="107">
        <f aca="true" t="shared" si="7" ref="C36:U36">(C69+C71+C73+C75)*$N$12</f>
        <v>103865.15588852296</v>
      </c>
      <c r="D36" s="107">
        <f t="shared" si="7"/>
        <v>207730.31177704592</v>
      </c>
      <c r="E36" s="107">
        <f t="shared" si="7"/>
        <v>311595.4676655689</v>
      </c>
      <c r="F36" s="107">
        <f t="shared" si="7"/>
        <v>415460.62355409184</v>
      </c>
      <c r="G36" s="107">
        <f t="shared" si="7"/>
        <v>415460.62355409184</v>
      </c>
      <c r="H36" s="107">
        <f t="shared" si="7"/>
        <v>415460.62355409184</v>
      </c>
      <c r="I36" s="107">
        <f t="shared" si="7"/>
        <v>415460.62355409184</v>
      </c>
      <c r="J36" s="107">
        <f t="shared" si="7"/>
        <v>415460.62355409184</v>
      </c>
      <c r="K36" s="107">
        <f t="shared" si="7"/>
        <v>415460.62355409184</v>
      </c>
      <c r="L36" s="107">
        <f t="shared" si="7"/>
        <v>415460.62355409184</v>
      </c>
      <c r="M36" s="107">
        <f t="shared" si="7"/>
        <v>415460.62355409184</v>
      </c>
      <c r="N36" s="107">
        <f t="shared" si="7"/>
        <v>415460.62355409184</v>
      </c>
      <c r="O36" s="107">
        <f t="shared" si="7"/>
        <v>415460.62355409184</v>
      </c>
      <c r="P36" s="107">
        <f t="shared" si="7"/>
        <v>415460.62355409184</v>
      </c>
      <c r="Q36" s="107">
        <f t="shared" si="7"/>
        <v>415460.62355409184</v>
      </c>
      <c r="R36" s="107">
        <f t="shared" si="7"/>
        <v>415460.62355409184</v>
      </c>
      <c r="S36" s="107">
        <f t="shared" si="7"/>
        <v>415460.62355409184</v>
      </c>
      <c r="T36" s="107">
        <f t="shared" si="7"/>
        <v>415460.62355409184</v>
      </c>
      <c r="U36" s="107">
        <f t="shared" si="7"/>
        <v>415460.62355409184</v>
      </c>
    </row>
    <row r="37" spans="1:21" ht="12.75">
      <c r="A37" s="105" t="s">
        <v>261</v>
      </c>
      <c r="B37" s="107">
        <f>(MFIs!B16)*$N$12</f>
        <v>0</v>
      </c>
      <c r="C37" s="107">
        <f>(MFIs!C16)*$N$12</f>
        <v>714.2857142857141</v>
      </c>
      <c r="D37" s="107">
        <f>(MFIs!D16)*$N$12</f>
        <v>4571.428571428571</v>
      </c>
      <c r="E37" s="107">
        <f>(MFIs!E16)*$N$12</f>
        <v>7142.857142857142</v>
      </c>
      <c r="F37" s="107">
        <f>(MFIs!F16)*$N$12</f>
        <v>7142.857142857142</v>
      </c>
      <c r="G37" s="107">
        <f>(MFIs!G16)*$N$12</f>
        <v>7142.857142857142</v>
      </c>
      <c r="H37" s="107">
        <f>(MFIs!H16)*$N$12</f>
        <v>7142.857142857142</v>
      </c>
      <c r="I37" s="107">
        <f>(MFIs!I16)*$N$12</f>
        <v>7142.857142857142</v>
      </c>
      <c r="J37" s="107">
        <f>(MFIs!J16)*$N$12</f>
        <v>7142.857142857142</v>
      </c>
      <c r="K37" s="107">
        <f>(MFIs!K16)*$N$12</f>
        <v>7142.857142857142</v>
      </c>
      <c r="L37" s="107">
        <f>(MFIs!L16)*$N$12</f>
        <v>7142.857142857142</v>
      </c>
      <c r="M37" s="107">
        <f>(MFIs!M16)*$N$12</f>
        <v>7142.857142857142</v>
      </c>
      <c r="N37" s="107">
        <f>(MFIs!N16)*$N$12</f>
        <v>7142.857142857142</v>
      </c>
      <c r="O37" s="107">
        <f>(MFIs!O16)*$N$12</f>
        <v>7142.857142857142</v>
      </c>
      <c r="P37" s="107">
        <f>(MFIs!P16)*$N$12</f>
        <v>7142.857142857142</v>
      </c>
      <c r="Q37" s="107">
        <f>(MFIs!Q16)*$N$12</f>
        <v>7142.857142857142</v>
      </c>
      <c r="R37" s="107">
        <f>(MFIs!R16)*$N$12</f>
        <v>7142.857142857142</v>
      </c>
      <c r="S37" s="107">
        <f>(MFIs!S16)*$N$12</f>
        <v>7142.857142857142</v>
      </c>
      <c r="T37" s="107">
        <f>(MFIs!T16)*$N$12</f>
        <v>7142.857142857142</v>
      </c>
      <c r="U37" s="107">
        <f>(MFIs!U16)*$N$12</f>
        <v>7142.857142857142</v>
      </c>
    </row>
    <row r="38" spans="1:21" ht="12.75">
      <c r="A38" s="105" t="s">
        <v>262</v>
      </c>
      <c r="B38" s="107">
        <f>(Agribusiness!B17)*$N$12</f>
        <v>0</v>
      </c>
      <c r="C38" s="107">
        <f>(Agribusiness!C17)*$N$12</f>
        <v>2888.8888888888887</v>
      </c>
      <c r="D38" s="107">
        <f>(Agribusiness!D17)*$N$12</f>
        <v>4333.333333333333</v>
      </c>
      <c r="E38" s="107">
        <f>(Agribusiness!E17)*$N$12</f>
        <v>4333.333333333333</v>
      </c>
      <c r="F38" s="107">
        <f>(Agribusiness!F17)*$N$12</f>
        <v>4333.333333333333</v>
      </c>
      <c r="G38" s="107">
        <f>(Agribusiness!G17)*$N$12</f>
        <v>4333.333333333333</v>
      </c>
      <c r="H38" s="107">
        <f>(Agribusiness!H17)*$N$12</f>
        <v>4333.333333333333</v>
      </c>
      <c r="I38" s="107">
        <f>(Agribusiness!I17)*$N$12</f>
        <v>4333.333333333333</v>
      </c>
      <c r="J38" s="107">
        <f>(Agribusiness!J17)*$N$12</f>
        <v>4333.333333333333</v>
      </c>
      <c r="K38" s="107">
        <f>(Agribusiness!K17)*$N$12</f>
        <v>4333.333333333333</v>
      </c>
      <c r="L38" s="107">
        <f>(Agribusiness!L17)*$N$12</f>
        <v>4333.333333333333</v>
      </c>
      <c r="M38" s="107">
        <f>(Agribusiness!M17)*$N$12</f>
        <v>4333.333333333333</v>
      </c>
      <c r="N38" s="107">
        <f>(Agribusiness!N17)*$N$12</f>
        <v>4333.333333333333</v>
      </c>
      <c r="O38" s="107">
        <f>(Agribusiness!O17)*$N$12</f>
        <v>4333.333333333333</v>
      </c>
      <c r="P38" s="107">
        <f>(Agribusiness!P17)*$N$12</f>
        <v>4333.333333333333</v>
      </c>
      <c r="Q38" s="107">
        <f>(Agribusiness!Q17)*$N$12</f>
        <v>4333.333333333333</v>
      </c>
      <c r="R38" s="107">
        <f>(Agribusiness!R17)*$N$12</f>
        <v>4333.333333333333</v>
      </c>
      <c r="S38" s="107">
        <f>(Agribusiness!S17)*$N$12</f>
        <v>4333.333333333333</v>
      </c>
      <c r="T38" s="107">
        <f>(Agribusiness!T17)*$N$12</f>
        <v>4333.333333333333</v>
      </c>
      <c r="U38" s="107">
        <f>(Agribusiness!U17)*$N$12</f>
        <v>4333.333333333333</v>
      </c>
    </row>
    <row r="39" spans="1:21" ht="12.75">
      <c r="A39" s="105" t="s">
        <v>258</v>
      </c>
      <c r="B39" s="107">
        <f>('Program Costs'!B29)*$N$9</f>
        <v>1240770.0067511932</v>
      </c>
      <c r="C39" s="107">
        <f>('Program Costs'!C29)*$N$9</f>
        <v>1235344.5590458133</v>
      </c>
      <c r="D39" s="107">
        <f>('Program Costs'!D29)*$N$9</f>
        <v>896782.0568985058</v>
      </c>
      <c r="E39" s="107">
        <f>('Program Costs'!E29)*$N$9</f>
        <v>432686.548212423</v>
      </c>
      <c r="F39" s="107">
        <f>('Program Costs'!F29)*$N$9</f>
        <v>111707.26347271838</v>
      </c>
      <c r="G39" s="47"/>
      <c r="H39" s="47"/>
      <c r="I39" s="47"/>
      <c r="J39" s="47"/>
      <c r="K39" s="47"/>
      <c r="L39" s="47"/>
      <c r="M39" s="47"/>
      <c r="N39" s="47"/>
      <c r="O39" s="47"/>
      <c r="P39" s="47"/>
      <c r="Q39" s="47"/>
      <c r="R39" s="47"/>
      <c r="S39" s="47"/>
      <c r="T39" s="47"/>
      <c r="U39" s="47"/>
    </row>
    <row r="40" spans="1:21" ht="13.5" thickBot="1">
      <c r="A40" s="105"/>
      <c r="B40" s="107"/>
      <c r="C40" s="107"/>
      <c r="D40" s="107"/>
      <c r="E40" s="107"/>
      <c r="F40" s="107"/>
      <c r="G40" s="47"/>
      <c r="H40" s="47"/>
      <c r="I40" s="47"/>
      <c r="J40" s="47"/>
      <c r="K40" s="47"/>
      <c r="L40" s="47"/>
      <c r="M40" s="47"/>
      <c r="N40" s="47"/>
      <c r="O40" s="47"/>
      <c r="P40" s="47"/>
      <c r="Q40" s="47"/>
      <c r="R40" s="47"/>
      <c r="S40" s="47"/>
      <c r="T40" s="47"/>
      <c r="U40" s="47"/>
    </row>
    <row r="41" spans="1:21" s="108" customFormat="1" ht="13.5" thickBot="1">
      <c r="A41" s="117" t="s">
        <v>184</v>
      </c>
      <c r="K41" s="23">
        <f>IRR(B42:K42)</f>
        <v>-0.01872436175651841</v>
      </c>
      <c r="P41" s="23">
        <f>IRR(B42:P42)</f>
        <v>0.07005431432679823</v>
      </c>
      <c r="Q41" s="15"/>
      <c r="R41" s="15"/>
      <c r="S41" s="15"/>
      <c r="T41" s="15"/>
      <c r="U41" s="24">
        <f>IRR(B42:U42)</f>
        <v>0.09881210429199427</v>
      </c>
    </row>
    <row r="42" spans="1:21" ht="12.75">
      <c r="A42" s="116" t="s">
        <v>163</v>
      </c>
      <c r="B42" s="107">
        <f>B43+B44+B45-B46</f>
        <v>-753638.1122869521</v>
      </c>
      <c r="C42" s="107">
        <f aca="true" t="shared" si="8" ref="C42:U42">C43+C44+C45-C46</f>
        <v>-821883.2829520867</v>
      </c>
      <c r="D42" s="107">
        <f t="shared" si="8"/>
        <v>-539810.7500394683</v>
      </c>
      <c r="E42" s="107">
        <f t="shared" si="8"/>
        <v>-38496.44557191443</v>
      </c>
      <c r="F42" s="107">
        <f t="shared" si="8"/>
        <v>129337.35098395508</v>
      </c>
      <c r="G42" s="107">
        <f t="shared" si="8"/>
        <v>359594.90220961464</v>
      </c>
      <c r="H42" s="107">
        <f t="shared" si="8"/>
        <v>359594.90220961464</v>
      </c>
      <c r="I42" s="107">
        <f t="shared" si="8"/>
        <v>359594.90220961464</v>
      </c>
      <c r="J42" s="107">
        <f t="shared" si="8"/>
        <v>359594.90220961464</v>
      </c>
      <c r="K42" s="107">
        <f t="shared" si="8"/>
        <v>359594.90220961464</v>
      </c>
      <c r="L42" s="107">
        <f t="shared" si="8"/>
        <v>359594.90220961464</v>
      </c>
      <c r="M42" s="107">
        <f t="shared" si="8"/>
        <v>359594.90220961464</v>
      </c>
      <c r="N42" s="107">
        <f t="shared" si="8"/>
        <v>359594.90220961464</v>
      </c>
      <c r="O42" s="107">
        <f t="shared" si="8"/>
        <v>359594.90220961464</v>
      </c>
      <c r="P42" s="107">
        <f t="shared" si="8"/>
        <v>359594.90220961464</v>
      </c>
      <c r="Q42" s="107">
        <f t="shared" si="8"/>
        <v>359594.90220961464</v>
      </c>
      <c r="R42" s="107">
        <f t="shared" si="8"/>
        <v>359594.90220961464</v>
      </c>
      <c r="S42" s="107">
        <f t="shared" si="8"/>
        <v>359594.90220961464</v>
      </c>
      <c r="T42" s="107">
        <f t="shared" si="8"/>
        <v>359594.90220961464</v>
      </c>
      <c r="U42" s="107">
        <f t="shared" si="8"/>
        <v>359594.90220961464</v>
      </c>
    </row>
    <row r="43" spans="1:21" ht="12.75">
      <c r="A43" s="105" t="s">
        <v>290</v>
      </c>
      <c r="B43" s="107">
        <f>(B78+B82)*$N$12</f>
        <v>0</v>
      </c>
      <c r="C43" s="107">
        <f aca="true" t="shared" si="9" ref="C43:U43">(C78+C82)*$N$12</f>
        <v>87141.28507621319</v>
      </c>
      <c r="D43" s="107">
        <f t="shared" si="9"/>
        <v>174282.57015242637</v>
      </c>
      <c r="E43" s="107">
        <f t="shared" si="9"/>
        <v>261423.85522863956</v>
      </c>
      <c r="F43" s="107">
        <f t="shared" si="9"/>
        <v>348565.14030485274</v>
      </c>
      <c r="G43" s="107">
        <f t="shared" si="9"/>
        <v>348565.14030485274</v>
      </c>
      <c r="H43" s="107">
        <f t="shared" si="9"/>
        <v>348565.14030485274</v>
      </c>
      <c r="I43" s="107">
        <f t="shared" si="9"/>
        <v>348565.14030485274</v>
      </c>
      <c r="J43" s="107">
        <f t="shared" si="9"/>
        <v>348565.14030485274</v>
      </c>
      <c r="K43" s="107">
        <f t="shared" si="9"/>
        <v>348565.14030485274</v>
      </c>
      <c r="L43" s="107">
        <f t="shared" si="9"/>
        <v>348565.14030485274</v>
      </c>
      <c r="M43" s="107">
        <f t="shared" si="9"/>
        <v>348565.14030485274</v>
      </c>
      <c r="N43" s="107">
        <f t="shared" si="9"/>
        <v>348565.14030485274</v>
      </c>
      <c r="O43" s="107">
        <f t="shared" si="9"/>
        <v>348565.14030485274</v>
      </c>
      <c r="P43" s="107">
        <f t="shared" si="9"/>
        <v>348565.14030485274</v>
      </c>
      <c r="Q43" s="107">
        <f t="shared" si="9"/>
        <v>348565.14030485274</v>
      </c>
      <c r="R43" s="107">
        <f t="shared" si="9"/>
        <v>348565.14030485274</v>
      </c>
      <c r="S43" s="107">
        <f t="shared" si="9"/>
        <v>348565.14030485274</v>
      </c>
      <c r="T43" s="107">
        <f t="shared" si="9"/>
        <v>348565.14030485274</v>
      </c>
      <c r="U43" s="107">
        <f t="shared" si="9"/>
        <v>348565.14030485274</v>
      </c>
    </row>
    <row r="44" spans="1:21" ht="12.75">
      <c r="A44" s="105" t="s">
        <v>291</v>
      </c>
      <c r="B44" s="107">
        <f>(MFIs!B17)*$N$12</f>
        <v>0</v>
      </c>
      <c r="C44" s="107">
        <f>(MFIs!C17)*$N$12</f>
        <v>669.642857142857</v>
      </c>
      <c r="D44" s="107">
        <f>(MFIs!D17)*$N$12</f>
        <v>4285.714285714284</v>
      </c>
      <c r="E44" s="107">
        <f>(MFIs!E17)*$N$12</f>
        <v>6696.42857142857</v>
      </c>
      <c r="F44" s="107">
        <f>(MFIs!F17)*$N$12</f>
        <v>6696.42857142857</v>
      </c>
      <c r="G44" s="107">
        <f>(MFIs!G17)*$N$12</f>
        <v>6696.42857142857</v>
      </c>
      <c r="H44" s="107">
        <f>(MFIs!H17)*$N$12</f>
        <v>6696.42857142857</v>
      </c>
      <c r="I44" s="107">
        <f>(MFIs!I17)*$N$12</f>
        <v>6696.42857142857</v>
      </c>
      <c r="J44" s="107">
        <f>(MFIs!J17)*$N$12</f>
        <v>6696.42857142857</v>
      </c>
      <c r="K44" s="107">
        <f>(MFIs!K17)*$N$12</f>
        <v>6696.42857142857</v>
      </c>
      <c r="L44" s="107">
        <f>(MFIs!L17)*$N$12</f>
        <v>6696.42857142857</v>
      </c>
      <c r="M44" s="107">
        <f>(MFIs!M17)*$N$12</f>
        <v>6696.42857142857</v>
      </c>
      <c r="N44" s="107">
        <f>(MFIs!N17)*$N$12</f>
        <v>6696.42857142857</v>
      </c>
      <c r="O44" s="107">
        <f>(MFIs!O17)*$N$12</f>
        <v>6696.42857142857</v>
      </c>
      <c r="P44" s="107">
        <f>(MFIs!P17)*$N$12</f>
        <v>6696.42857142857</v>
      </c>
      <c r="Q44" s="107">
        <f>(MFIs!Q17)*$N$12</f>
        <v>6696.42857142857</v>
      </c>
      <c r="R44" s="107">
        <f>(MFIs!R17)*$N$12</f>
        <v>6696.42857142857</v>
      </c>
      <c r="S44" s="107">
        <f>(MFIs!S17)*$N$12</f>
        <v>6696.42857142857</v>
      </c>
      <c r="T44" s="107">
        <f>(MFIs!T17)*$N$12</f>
        <v>6696.42857142857</v>
      </c>
      <c r="U44" s="107">
        <f>(MFIs!U17)*$N$12</f>
        <v>6696.42857142857</v>
      </c>
    </row>
    <row r="45" spans="1:21" ht="12.75">
      <c r="A45" s="105" t="s">
        <v>292</v>
      </c>
      <c r="B45" s="107">
        <f>(Agribusiness!B18)*$N$12</f>
        <v>0</v>
      </c>
      <c r="C45" s="107">
        <f>(Agribusiness!C18)*$N$12</f>
        <v>2888.8888888888887</v>
      </c>
      <c r="D45" s="107">
        <f>(Agribusiness!D18)*$N$12</f>
        <v>4333.333333333333</v>
      </c>
      <c r="E45" s="107">
        <f>(Agribusiness!E18)*$N$12</f>
        <v>4333.333333333333</v>
      </c>
      <c r="F45" s="107">
        <f>(Agribusiness!F18)*$N$12</f>
        <v>4333.333333333333</v>
      </c>
      <c r="G45" s="107">
        <f>(Agribusiness!G18)*$N$12</f>
        <v>4333.333333333333</v>
      </c>
      <c r="H45" s="107">
        <f>(Agribusiness!H18)*$N$12</f>
        <v>4333.333333333333</v>
      </c>
      <c r="I45" s="107">
        <f>(Agribusiness!I18)*$N$12</f>
        <v>4333.333333333333</v>
      </c>
      <c r="J45" s="107">
        <f>(Agribusiness!J18)*$N$12</f>
        <v>4333.333333333333</v>
      </c>
      <c r="K45" s="107">
        <f>(Agribusiness!K18)*$N$12</f>
        <v>4333.333333333333</v>
      </c>
      <c r="L45" s="107">
        <f>(Agribusiness!L18)*$N$12</f>
        <v>4333.333333333333</v>
      </c>
      <c r="M45" s="107">
        <f>(Agribusiness!M18)*$N$12</f>
        <v>4333.333333333333</v>
      </c>
      <c r="N45" s="107">
        <f>(Agribusiness!N18)*$N$12</f>
        <v>4333.333333333333</v>
      </c>
      <c r="O45" s="107">
        <f>(Agribusiness!O18)*$N$12</f>
        <v>4333.333333333333</v>
      </c>
      <c r="P45" s="107">
        <f>(Agribusiness!P18)*$N$12</f>
        <v>4333.333333333333</v>
      </c>
      <c r="Q45" s="107">
        <f>(Agribusiness!Q18)*$N$12</f>
        <v>4333.333333333333</v>
      </c>
      <c r="R45" s="107">
        <f>(Agribusiness!R18)*$N$12</f>
        <v>4333.333333333333</v>
      </c>
      <c r="S45" s="107">
        <f>(Agribusiness!S18)*$N$12</f>
        <v>4333.333333333333</v>
      </c>
      <c r="T45" s="107">
        <f>(Agribusiness!T18)*$N$12</f>
        <v>4333.333333333333</v>
      </c>
      <c r="U45" s="107">
        <f>(Agribusiness!U18)*$N$12</f>
        <v>4333.333333333333</v>
      </c>
    </row>
    <row r="46" spans="1:21" ht="12.75">
      <c r="A46" s="105" t="s">
        <v>293</v>
      </c>
      <c r="B46" s="107">
        <f>('Program Costs'!B37)*$N$9</f>
        <v>753638.1122869521</v>
      </c>
      <c r="C46" s="107">
        <f>('Program Costs'!C37)*$N$9</f>
        <v>912583.0997743316</v>
      </c>
      <c r="D46" s="107">
        <f>('Program Costs'!D37)*$N$9</f>
        <v>722712.3678109423</v>
      </c>
      <c r="E46" s="107">
        <f>('Program Costs'!E37)*$N$9</f>
        <v>310950.0627053159</v>
      </c>
      <c r="F46" s="107">
        <f>('Program Costs'!F37)*$N$9</f>
        <v>230257.55122565955</v>
      </c>
      <c r="G46" s="47"/>
      <c r="H46" s="47"/>
      <c r="I46" s="47"/>
      <c r="J46" s="47"/>
      <c r="K46" s="47"/>
      <c r="L46" s="47"/>
      <c r="M46" s="47"/>
      <c r="N46" s="47"/>
      <c r="O46" s="47"/>
      <c r="P46" s="47"/>
      <c r="Q46" s="47"/>
      <c r="R46" s="47"/>
      <c r="S46" s="47"/>
      <c r="T46" s="47"/>
      <c r="U46" s="47"/>
    </row>
    <row r="47" spans="1:21" s="110" customFormat="1" ht="12.75">
      <c r="A47" s="105"/>
      <c r="B47" s="47"/>
      <c r="C47" s="47"/>
      <c r="D47" s="47"/>
      <c r="E47" s="47"/>
      <c r="F47" s="47"/>
      <c r="G47" s="47"/>
      <c r="H47" s="47"/>
      <c r="I47" s="47"/>
      <c r="J47" s="47"/>
      <c r="K47" s="47"/>
      <c r="L47" s="47"/>
      <c r="M47" s="47"/>
      <c r="N47" s="47"/>
      <c r="O47" s="47"/>
      <c r="P47" s="47"/>
      <c r="Q47" s="47"/>
      <c r="R47" s="47"/>
      <c r="S47" s="47"/>
      <c r="T47" s="47"/>
      <c r="U47" s="47"/>
    </row>
    <row r="49" spans="1:21" s="108" customFormat="1" ht="12.75">
      <c r="A49" s="117" t="s">
        <v>181</v>
      </c>
      <c r="K49" s="14"/>
      <c r="P49" s="14"/>
      <c r="Q49" s="15"/>
      <c r="R49" s="15"/>
      <c r="S49" s="15"/>
      <c r="T49" s="15"/>
      <c r="U49" s="20"/>
    </row>
    <row r="50" spans="1:21" ht="25.5">
      <c r="A50" s="111" t="s">
        <v>137</v>
      </c>
      <c r="B50" s="93"/>
      <c r="C50" s="112">
        <f>F50/4</f>
        <v>9591.50956668638</v>
      </c>
      <c r="D50" s="112">
        <f>F50/4*2</f>
        <v>19183.01913337276</v>
      </c>
      <c r="E50" s="112">
        <f>F50/4*3</f>
        <v>28774.52870005914</v>
      </c>
      <c r="F50" s="112">
        <f>Horticulture!B47*Horticulture!B28</f>
        <v>38366.03826674552</v>
      </c>
      <c r="G50" s="112">
        <f>F50</f>
        <v>38366.03826674552</v>
      </c>
      <c r="H50" s="112">
        <f aca="true" t="shared" si="10" ref="H50:U50">G50</f>
        <v>38366.03826674552</v>
      </c>
      <c r="I50" s="112">
        <f t="shared" si="10"/>
        <v>38366.03826674552</v>
      </c>
      <c r="J50" s="112">
        <f t="shared" si="10"/>
        <v>38366.03826674552</v>
      </c>
      <c r="K50" s="112">
        <f t="shared" si="10"/>
        <v>38366.03826674552</v>
      </c>
      <c r="L50" s="112">
        <f t="shared" si="10"/>
        <v>38366.03826674552</v>
      </c>
      <c r="M50" s="112">
        <f t="shared" si="10"/>
        <v>38366.03826674552</v>
      </c>
      <c r="N50" s="112">
        <f t="shared" si="10"/>
        <v>38366.03826674552</v>
      </c>
      <c r="O50" s="112">
        <f t="shared" si="10"/>
        <v>38366.03826674552</v>
      </c>
      <c r="P50" s="112">
        <f t="shared" si="10"/>
        <v>38366.03826674552</v>
      </c>
      <c r="Q50" s="112">
        <f t="shared" si="10"/>
        <v>38366.03826674552</v>
      </c>
      <c r="R50" s="112">
        <f t="shared" si="10"/>
        <v>38366.03826674552</v>
      </c>
      <c r="S50" s="112">
        <f t="shared" si="10"/>
        <v>38366.03826674552</v>
      </c>
      <c r="T50" s="112">
        <f t="shared" si="10"/>
        <v>38366.03826674552</v>
      </c>
      <c r="U50" s="112">
        <f t="shared" si="10"/>
        <v>38366.03826674552</v>
      </c>
    </row>
    <row r="51" spans="1:21" ht="12.75">
      <c r="A51" s="111"/>
      <c r="B51" s="93"/>
      <c r="C51" s="112"/>
      <c r="D51" s="112"/>
      <c r="E51" s="112"/>
      <c r="F51" s="112"/>
      <c r="G51" s="112"/>
      <c r="H51" s="112"/>
      <c r="I51" s="112"/>
      <c r="J51" s="112"/>
      <c r="K51" s="112"/>
      <c r="L51" s="112"/>
      <c r="M51" s="112"/>
      <c r="N51" s="112"/>
      <c r="O51" s="112"/>
      <c r="P51" s="112"/>
      <c r="Q51" s="112"/>
      <c r="R51" s="112"/>
      <c r="S51" s="112"/>
      <c r="T51" s="112"/>
      <c r="U51" s="112"/>
    </row>
    <row r="52" spans="1:21" ht="25.5">
      <c r="A52" s="111" t="s">
        <v>139</v>
      </c>
      <c r="B52" s="93"/>
      <c r="C52" s="112">
        <f>F52/4</f>
        <v>92897.73420821088</v>
      </c>
      <c r="D52" s="112">
        <f>F52/4*2</f>
        <v>185795.46841642176</v>
      </c>
      <c r="E52" s="112">
        <f>F52/4*3</f>
        <v>278693.2026246326</v>
      </c>
      <c r="F52" s="112">
        <f>Horticulture!B48*Horticulture!B33</f>
        <v>371590.9368328435</v>
      </c>
      <c r="G52" s="112">
        <f>F52</f>
        <v>371590.9368328435</v>
      </c>
      <c r="H52" s="112">
        <f aca="true" t="shared" si="11" ref="H52:U52">G52</f>
        <v>371590.9368328435</v>
      </c>
      <c r="I52" s="112">
        <f t="shared" si="11"/>
        <v>371590.9368328435</v>
      </c>
      <c r="J52" s="112">
        <f t="shared" si="11"/>
        <v>371590.9368328435</v>
      </c>
      <c r="K52" s="112">
        <f t="shared" si="11"/>
        <v>371590.9368328435</v>
      </c>
      <c r="L52" s="112">
        <f t="shared" si="11"/>
        <v>371590.9368328435</v>
      </c>
      <c r="M52" s="112">
        <f t="shared" si="11"/>
        <v>371590.9368328435</v>
      </c>
      <c r="N52" s="112">
        <f t="shared" si="11"/>
        <v>371590.9368328435</v>
      </c>
      <c r="O52" s="112">
        <f t="shared" si="11"/>
        <v>371590.9368328435</v>
      </c>
      <c r="P52" s="112">
        <f t="shared" si="11"/>
        <v>371590.9368328435</v>
      </c>
      <c r="Q52" s="112">
        <f t="shared" si="11"/>
        <v>371590.9368328435</v>
      </c>
      <c r="R52" s="112">
        <f t="shared" si="11"/>
        <v>371590.9368328435</v>
      </c>
      <c r="S52" s="112">
        <f t="shared" si="11"/>
        <v>371590.9368328435</v>
      </c>
      <c r="T52" s="112">
        <f t="shared" si="11"/>
        <v>371590.9368328435</v>
      </c>
      <c r="U52" s="112">
        <f t="shared" si="11"/>
        <v>371590.9368328435</v>
      </c>
    </row>
    <row r="53" spans="1:21" ht="12.75">
      <c r="A53" s="111"/>
      <c r="B53" s="93"/>
      <c r="C53" s="112"/>
      <c r="D53" s="112"/>
      <c r="E53" s="112"/>
      <c r="F53" s="112"/>
      <c r="G53" s="112"/>
      <c r="H53" s="112"/>
      <c r="I53" s="112"/>
      <c r="J53" s="112"/>
      <c r="K53" s="112"/>
      <c r="L53" s="112"/>
      <c r="M53" s="112"/>
      <c r="N53" s="112"/>
      <c r="O53" s="112"/>
      <c r="P53" s="112"/>
      <c r="Q53" s="112"/>
      <c r="R53" s="112"/>
      <c r="S53" s="112"/>
      <c r="T53" s="112"/>
      <c r="U53" s="112"/>
    </row>
    <row r="54" spans="1:21" ht="25.5">
      <c r="A54" s="111" t="s">
        <v>136</v>
      </c>
      <c r="B54" s="93"/>
      <c r="C54" s="112">
        <f>F54/4</f>
        <v>21743.919665845046</v>
      </c>
      <c r="D54" s="112">
        <f>F54/4*2</f>
        <v>43487.83933169009</v>
      </c>
      <c r="E54" s="112">
        <f>F54/4*3</f>
        <v>65231.75899753514</v>
      </c>
      <c r="F54" s="112">
        <f>Horticulture!B49*Horticulture!B37</f>
        <v>86975.67866338018</v>
      </c>
      <c r="G54" s="112">
        <f>F54</f>
        <v>86975.67866338018</v>
      </c>
      <c r="H54" s="112">
        <f aca="true" t="shared" si="12" ref="H54:U54">G54</f>
        <v>86975.67866338018</v>
      </c>
      <c r="I54" s="112">
        <f t="shared" si="12"/>
        <v>86975.67866338018</v>
      </c>
      <c r="J54" s="112">
        <f t="shared" si="12"/>
        <v>86975.67866338018</v>
      </c>
      <c r="K54" s="112">
        <f t="shared" si="12"/>
        <v>86975.67866338018</v>
      </c>
      <c r="L54" s="112">
        <f t="shared" si="12"/>
        <v>86975.67866338018</v>
      </c>
      <c r="M54" s="112">
        <f t="shared" si="12"/>
        <v>86975.67866338018</v>
      </c>
      <c r="N54" s="112">
        <f t="shared" si="12"/>
        <v>86975.67866338018</v>
      </c>
      <c r="O54" s="112">
        <f t="shared" si="12"/>
        <v>86975.67866338018</v>
      </c>
      <c r="P54" s="112">
        <f t="shared" si="12"/>
        <v>86975.67866338018</v>
      </c>
      <c r="Q54" s="112">
        <f t="shared" si="12"/>
        <v>86975.67866338018</v>
      </c>
      <c r="R54" s="112">
        <f t="shared" si="12"/>
        <v>86975.67866338018</v>
      </c>
      <c r="S54" s="112">
        <f t="shared" si="12"/>
        <v>86975.67866338018</v>
      </c>
      <c r="T54" s="112">
        <f t="shared" si="12"/>
        <v>86975.67866338018</v>
      </c>
      <c r="U54" s="112">
        <f t="shared" si="12"/>
        <v>86975.67866338018</v>
      </c>
    </row>
    <row r="55" spans="1:21" ht="12.75">
      <c r="A55" s="111"/>
      <c r="B55" s="93"/>
      <c r="C55" s="112"/>
      <c r="D55" s="112"/>
      <c r="E55" s="112"/>
      <c r="F55" s="112"/>
      <c r="G55" s="112"/>
      <c r="H55" s="112"/>
      <c r="I55" s="112"/>
      <c r="J55" s="112"/>
      <c r="K55" s="112"/>
      <c r="L55" s="112"/>
      <c r="M55" s="112"/>
      <c r="N55" s="112"/>
      <c r="O55" s="112"/>
      <c r="P55" s="112"/>
      <c r="Q55" s="112"/>
      <c r="R55" s="112"/>
      <c r="S55" s="112"/>
      <c r="T55" s="112"/>
      <c r="U55" s="112"/>
    </row>
    <row r="56" spans="1:21" ht="25.5">
      <c r="A56" s="113" t="s">
        <v>138</v>
      </c>
      <c r="B56" s="93"/>
      <c r="C56" s="112">
        <f>F56/4</f>
        <v>0</v>
      </c>
      <c r="D56" s="112">
        <f>F56/4*2</f>
        <v>0</v>
      </c>
      <c r="E56" s="112">
        <f>F56/4*3</f>
        <v>0</v>
      </c>
      <c r="F56" s="112">
        <f>Horticulture!B50*Horticulture!B41</f>
        <v>0</v>
      </c>
      <c r="G56" s="112">
        <f>F56</f>
        <v>0</v>
      </c>
      <c r="H56" s="112">
        <f aca="true" t="shared" si="13" ref="H56:U56">G56</f>
        <v>0</v>
      </c>
      <c r="I56" s="112">
        <f t="shared" si="13"/>
        <v>0</v>
      </c>
      <c r="J56" s="112">
        <f t="shared" si="13"/>
        <v>0</v>
      </c>
      <c r="K56" s="112">
        <f t="shared" si="13"/>
        <v>0</v>
      </c>
      <c r="L56" s="112">
        <f t="shared" si="13"/>
        <v>0</v>
      </c>
      <c r="M56" s="112">
        <f t="shared" si="13"/>
        <v>0</v>
      </c>
      <c r="N56" s="112">
        <f t="shared" si="13"/>
        <v>0</v>
      </c>
      <c r="O56" s="112">
        <f t="shared" si="13"/>
        <v>0</v>
      </c>
      <c r="P56" s="112">
        <f t="shared" si="13"/>
        <v>0</v>
      </c>
      <c r="Q56" s="112">
        <f t="shared" si="13"/>
        <v>0</v>
      </c>
      <c r="R56" s="112">
        <f t="shared" si="13"/>
        <v>0</v>
      </c>
      <c r="S56" s="112">
        <f t="shared" si="13"/>
        <v>0</v>
      </c>
      <c r="T56" s="112">
        <f t="shared" si="13"/>
        <v>0</v>
      </c>
      <c r="U56" s="112">
        <f t="shared" si="13"/>
        <v>0</v>
      </c>
    </row>
    <row r="58" spans="1:21" s="108" customFormat="1" ht="12.75">
      <c r="A58" s="117" t="s">
        <v>182</v>
      </c>
      <c r="K58" s="14"/>
      <c r="P58" s="14"/>
      <c r="Q58" s="15"/>
      <c r="R58" s="15"/>
      <c r="S58" s="15"/>
      <c r="T58" s="15"/>
      <c r="U58" s="19"/>
    </row>
    <row r="59" spans="1:21" ht="25.5">
      <c r="A59" s="111" t="s">
        <v>137</v>
      </c>
      <c r="B59" s="93"/>
      <c r="C59" s="112">
        <f>F59/4</f>
        <v>0</v>
      </c>
      <c r="D59" s="112">
        <f>F59/4*2</f>
        <v>0</v>
      </c>
      <c r="E59" s="112">
        <f>F59/4*3</f>
        <v>0</v>
      </c>
      <c r="F59" s="112">
        <f>Horticulture!C47*Horticulture!B28</f>
        <v>0</v>
      </c>
      <c r="G59" s="112">
        <f>F59</f>
        <v>0</v>
      </c>
      <c r="H59" s="112">
        <f aca="true" t="shared" si="14" ref="H59:U59">G59</f>
        <v>0</v>
      </c>
      <c r="I59" s="112">
        <f t="shared" si="14"/>
        <v>0</v>
      </c>
      <c r="J59" s="112">
        <f t="shared" si="14"/>
        <v>0</v>
      </c>
      <c r="K59" s="112">
        <f t="shared" si="14"/>
        <v>0</v>
      </c>
      <c r="L59" s="112">
        <f t="shared" si="14"/>
        <v>0</v>
      </c>
      <c r="M59" s="112">
        <f t="shared" si="14"/>
        <v>0</v>
      </c>
      <c r="N59" s="112">
        <f t="shared" si="14"/>
        <v>0</v>
      </c>
      <c r="O59" s="112">
        <f t="shared" si="14"/>
        <v>0</v>
      </c>
      <c r="P59" s="112">
        <f t="shared" si="14"/>
        <v>0</v>
      </c>
      <c r="Q59" s="112">
        <f t="shared" si="14"/>
        <v>0</v>
      </c>
      <c r="R59" s="112">
        <f t="shared" si="14"/>
        <v>0</v>
      </c>
      <c r="S59" s="112">
        <f t="shared" si="14"/>
        <v>0</v>
      </c>
      <c r="T59" s="112">
        <f t="shared" si="14"/>
        <v>0</v>
      </c>
      <c r="U59" s="112">
        <f t="shared" si="14"/>
        <v>0</v>
      </c>
    </row>
    <row r="60" spans="1:21" ht="12.75">
      <c r="A60" s="111"/>
      <c r="B60" s="93"/>
      <c r="C60" s="112"/>
      <c r="D60" s="112"/>
      <c r="E60" s="112"/>
      <c r="F60" s="112"/>
      <c r="G60" s="112"/>
      <c r="H60" s="112"/>
      <c r="I60" s="112"/>
      <c r="J60" s="112"/>
      <c r="K60" s="112"/>
      <c r="L60" s="112"/>
      <c r="M60" s="112"/>
      <c r="N60" s="112"/>
      <c r="O60" s="112"/>
      <c r="P60" s="112"/>
      <c r="Q60" s="112"/>
      <c r="R60" s="112"/>
      <c r="S60" s="112"/>
      <c r="T60" s="112"/>
      <c r="U60" s="112"/>
    </row>
    <row r="61" spans="1:21" ht="25.5">
      <c r="A61" s="111" t="s">
        <v>139</v>
      </c>
      <c r="B61" s="93"/>
      <c r="C61" s="112">
        <f>F61/4</f>
        <v>64067.402902214395</v>
      </c>
      <c r="D61" s="112">
        <f>F61/4*2</f>
        <v>128134.80580442879</v>
      </c>
      <c r="E61" s="112">
        <f>F61/4*3</f>
        <v>192202.2087066432</v>
      </c>
      <c r="F61" s="112">
        <f>Horticulture!C48*Horticulture!B33</f>
        <v>256269.61160885758</v>
      </c>
      <c r="G61" s="112">
        <f>F61</f>
        <v>256269.61160885758</v>
      </c>
      <c r="H61" s="112">
        <f aca="true" t="shared" si="15" ref="H61:U61">G61</f>
        <v>256269.61160885758</v>
      </c>
      <c r="I61" s="112">
        <f t="shared" si="15"/>
        <v>256269.61160885758</v>
      </c>
      <c r="J61" s="112">
        <f t="shared" si="15"/>
        <v>256269.61160885758</v>
      </c>
      <c r="K61" s="112">
        <f t="shared" si="15"/>
        <v>256269.61160885758</v>
      </c>
      <c r="L61" s="112">
        <f t="shared" si="15"/>
        <v>256269.61160885758</v>
      </c>
      <c r="M61" s="112">
        <f t="shared" si="15"/>
        <v>256269.61160885758</v>
      </c>
      <c r="N61" s="112">
        <f t="shared" si="15"/>
        <v>256269.61160885758</v>
      </c>
      <c r="O61" s="112">
        <f t="shared" si="15"/>
        <v>256269.61160885758</v>
      </c>
      <c r="P61" s="112">
        <f t="shared" si="15"/>
        <v>256269.61160885758</v>
      </c>
      <c r="Q61" s="112">
        <f t="shared" si="15"/>
        <v>256269.61160885758</v>
      </c>
      <c r="R61" s="112">
        <f t="shared" si="15"/>
        <v>256269.61160885758</v>
      </c>
      <c r="S61" s="112">
        <f t="shared" si="15"/>
        <v>256269.61160885758</v>
      </c>
      <c r="T61" s="112">
        <f t="shared" si="15"/>
        <v>256269.61160885758</v>
      </c>
      <c r="U61" s="112">
        <f t="shared" si="15"/>
        <v>256269.61160885758</v>
      </c>
    </row>
    <row r="62" spans="1:21" ht="12.75">
      <c r="A62" s="111"/>
      <c r="B62" s="93"/>
      <c r="C62" s="112"/>
      <c r="D62" s="112"/>
      <c r="E62" s="112"/>
      <c r="F62" s="112"/>
      <c r="G62" s="112"/>
      <c r="H62" s="112"/>
      <c r="I62" s="112"/>
      <c r="J62" s="112"/>
      <c r="K62" s="112"/>
      <c r="L62" s="112"/>
      <c r="M62" s="112"/>
      <c r="N62" s="112"/>
      <c r="O62" s="112"/>
      <c r="P62" s="112"/>
      <c r="Q62" s="112"/>
      <c r="R62" s="112"/>
      <c r="S62" s="112"/>
      <c r="T62" s="112"/>
      <c r="U62" s="112"/>
    </row>
    <row r="63" spans="1:21" ht="25.5">
      <c r="A63" s="111" t="s">
        <v>136</v>
      </c>
      <c r="B63" s="93"/>
      <c r="C63" s="112">
        <f>F63/4</f>
        <v>36239.86610974174</v>
      </c>
      <c r="D63" s="112">
        <f>F63/4*2</f>
        <v>72479.73221948349</v>
      </c>
      <c r="E63" s="112">
        <f>F63/4*3</f>
        <v>108719.59832922523</v>
      </c>
      <c r="F63" s="112">
        <f>Horticulture!C49*Horticulture!B37</f>
        <v>144959.46443896697</v>
      </c>
      <c r="G63" s="112">
        <f>F63</f>
        <v>144959.46443896697</v>
      </c>
      <c r="H63" s="112">
        <f aca="true" t="shared" si="16" ref="H63:U63">G63</f>
        <v>144959.46443896697</v>
      </c>
      <c r="I63" s="112">
        <f t="shared" si="16"/>
        <v>144959.46443896697</v>
      </c>
      <c r="J63" s="112">
        <f t="shared" si="16"/>
        <v>144959.46443896697</v>
      </c>
      <c r="K63" s="112">
        <f t="shared" si="16"/>
        <v>144959.46443896697</v>
      </c>
      <c r="L63" s="112">
        <f t="shared" si="16"/>
        <v>144959.46443896697</v>
      </c>
      <c r="M63" s="112">
        <f t="shared" si="16"/>
        <v>144959.46443896697</v>
      </c>
      <c r="N63" s="112">
        <f t="shared" si="16"/>
        <v>144959.46443896697</v>
      </c>
      <c r="O63" s="112">
        <f t="shared" si="16"/>
        <v>144959.46443896697</v>
      </c>
      <c r="P63" s="112">
        <f t="shared" si="16"/>
        <v>144959.46443896697</v>
      </c>
      <c r="Q63" s="112">
        <f t="shared" si="16"/>
        <v>144959.46443896697</v>
      </c>
      <c r="R63" s="112">
        <f t="shared" si="16"/>
        <v>144959.46443896697</v>
      </c>
      <c r="S63" s="112">
        <f t="shared" si="16"/>
        <v>144959.46443896697</v>
      </c>
      <c r="T63" s="112">
        <f t="shared" si="16"/>
        <v>144959.46443896697</v>
      </c>
      <c r="U63" s="112">
        <f t="shared" si="16"/>
        <v>144959.46443896697</v>
      </c>
    </row>
    <row r="64" spans="1:21" ht="12.75">
      <c r="A64" s="111"/>
      <c r="B64" s="93"/>
      <c r="C64" s="112"/>
      <c r="D64" s="112"/>
      <c r="E64" s="112"/>
      <c r="F64" s="112"/>
      <c r="G64" s="112"/>
      <c r="H64" s="112"/>
      <c r="I64" s="112"/>
      <c r="J64" s="112"/>
      <c r="K64" s="112"/>
      <c r="L64" s="112"/>
      <c r="M64" s="112"/>
      <c r="N64" s="112"/>
      <c r="O64" s="112"/>
      <c r="P64" s="112"/>
      <c r="Q64" s="112"/>
      <c r="R64" s="112"/>
      <c r="S64" s="112"/>
      <c r="T64" s="112"/>
      <c r="U64" s="112"/>
    </row>
    <row r="65" spans="1:21" ht="25.5">
      <c r="A65" s="113" t="s">
        <v>138</v>
      </c>
      <c r="B65" s="93"/>
      <c r="C65" s="112">
        <f>F65/4</f>
        <v>76959.37077370034</v>
      </c>
      <c r="D65" s="112">
        <f>F65/4*2</f>
        <v>153918.74154740068</v>
      </c>
      <c r="E65" s="112">
        <f>F65/4*3</f>
        <v>230878.112321101</v>
      </c>
      <c r="F65" s="112">
        <f>Horticulture!C50*Horticulture!B41</f>
        <v>307837.48309480137</v>
      </c>
      <c r="G65" s="112">
        <f>F65</f>
        <v>307837.48309480137</v>
      </c>
      <c r="H65" s="112">
        <f aca="true" t="shared" si="17" ref="H65:U65">G65</f>
        <v>307837.48309480137</v>
      </c>
      <c r="I65" s="112">
        <f t="shared" si="17"/>
        <v>307837.48309480137</v>
      </c>
      <c r="J65" s="112">
        <f t="shared" si="17"/>
        <v>307837.48309480137</v>
      </c>
      <c r="K65" s="112">
        <f t="shared" si="17"/>
        <v>307837.48309480137</v>
      </c>
      <c r="L65" s="112">
        <f t="shared" si="17"/>
        <v>307837.48309480137</v>
      </c>
      <c r="M65" s="112">
        <f t="shared" si="17"/>
        <v>307837.48309480137</v>
      </c>
      <c r="N65" s="112">
        <f t="shared" si="17"/>
        <v>307837.48309480137</v>
      </c>
      <c r="O65" s="112">
        <f t="shared" si="17"/>
        <v>307837.48309480137</v>
      </c>
      <c r="P65" s="112">
        <f t="shared" si="17"/>
        <v>307837.48309480137</v>
      </c>
      <c r="Q65" s="112">
        <f t="shared" si="17"/>
        <v>307837.48309480137</v>
      </c>
      <c r="R65" s="112">
        <f t="shared" si="17"/>
        <v>307837.48309480137</v>
      </c>
      <c r="S65" s="112">
        <f t="shared" si="17"/>
        <v>307837.48309480137</v>
      </c>
      <c r="T65" s="112">
        <f t="shared" si="17"/>
        <v>307837.48309480137</v>
      </c>
      <c r="U65" s="112">
        <f t="shared" si="17"/>
        <v>307837.48309480137</v>
      </c>
    </row>
    <row r="66" spans="1:21" ht="12.75">
      <c r="A66" s="113"/>
      <c r="B66" s="93"/>
      <c r="C66" s="112"/>
      <c r="D66" s="112"/>
      <c r="E66" s="112"/>
      <c r="F66" s="112"/>
      <c r="G66" s="112"/>
      <c r="H66" s="112"/>
      <c r="I66" s="112"/>
      <c r="J66" s="112"/>
      <c r="K66" s="112"/>
      <c r="L66" s="112"/>
      <c r="M66" s="112"/>
      <c r="N66" s="112"/>
      <c r="O66" s="112"/>
      <c r="P66" s="112"/>
      <c r="Q66" s="112"/>
      <c r="R66" s="112"/>
      <c r="S66" s="112"/>
      <c r="T66" s="112"/>
      <c r="U66" s="112"/>
    </row>
    <row r="68" spans="1:21" s="108" customFormat="1" ht="12.75">
      <c r="A68" s="117" t="s">
        <v>183</v>
      </c>
      <c r="K68" s="14"/>
      <c r="P68" s="14"/>
      <c r="Q68" s="15"/>
      <c r="R68" s="15"/>
      <c r="S68" s="15"/>
      <c r="T68" s="15"/>
      <c r="U68" s="19"/>
    </row>
    <row r="69" spans="1:21" ht="25.5">
      <c r="A69" s="111" t="s">
        <v>137</v>
      </c>
      <c r="B69" s="93"/>
      <c r="C69" s="112">
        <f>F69/4</f>
        <v>30922.013369721102</v>
      </c>
      <c r="D69" s="112">
        <f>F69/4*2</f>
        <v>61844.026739442204</v>
      </c>
      <c r="E69" s="112">
        <f>F69/4*3</f>
        <v>92766.04010916331</v>
      </c>
      <c r="F69" s="112">
        <f>Horticulture!D47*Horticulture!B30</f>
        <v>123688.05347888441</v>
      </c>
      <c r="G69" s="112">
        <f>F69</f>
        <v>123688.05347888441</v>
      </c>
      <c r="H69" s="112">
        <f aca="true" t="shared" si="18" ref="H69:U69">G69</f>
        <v>123688.05347888441</v>
      </c>
      <c r="I69" s="112">
        <f t="shared" si="18"/>
        <v>123688.05347888441</v>
      </c>
      <c r="J69" s="112">
        <f t="shared" si="18"/>
        <v>123688.05347888441</v>
      </c>
      <c r="K69" s="112">
        <f t="shared" si="18"/>
        <v>123688.05347888441</v>
      </c>
      <c r="L69" s="112">
        <f t="shared" si="18"/>
        <v>123688.05347888441</v>
      </c>
      <c r="M69" s="112">
        <f t="shared" si="18"/>
        <v>123688.05347888441</v>
      </c>
      <c r="N69" s="112">
        <f t="shared" si="18"/>
        <v>123688.05347888441</v>
      </c>
      <c r="O69" s="112">
        <f t="shared" si="18"/>
        <v>123688.05347888441</v>
      </c>
      <c r="P69" s="112">
        <f t="shared" si="18"/>
        <v>123688.05347888441</v>
      </c>
      <c r="Q69" s="112">
        <f t="shared" si="18"/>
        <v>123688.05347888441</v>
      </c>
      <c r="R69" s="112">
        <f t="shared" si="18"/>
        <v>123688.05347888441</v>
      </c>
      <c r="S69" s="112">
        <f t="shared" si="18"/>
        <v>123688.05347888441</v>
      </c>
      <c r="T69" s="112">
        <f t="shared" si="18"/>
        <v>123688.05347888441</v>
      </c>
      <c r="U69" s="112">
        <f t="shared" si="18"/>
        <v>123688.05347888441</v>
      </c>
    </row>
    <row r="70" spans="1:21" ht="12.75">
      <c r="A70" s="111"/>
      <c r="B70" s="93"/>
      <c r="C70" s="112"/>
      <c r="D70" s="112"/>
      <c r="E70" s="112"/>
      <c r="F70" s="112"/>
      <c r="G70" s="112"/>
      <c r="H70" s="112"/>
      <c r="I70" s="112"/>
      <c r="J70" s="112"/>
      <c r="K70" s="112"/>
      <c r="L70" s="112"/>
      <c r="M70" s="112"/>
      <c r="N70" s="112"/>
      <c r="O70" s="112"/>
      <c r="P70" s="112"/>
      <c r="Q70" s="112"/>
      <c r="R70" s="112"/>
      <c r="S70" s="112"/>
      <c r="T70" s="112"/>
      <c r="U70" s="112"/>
    </row>
    <row r="71" spans="1:21" ht="25.5">
      <c r="A71" s="111" t="s">
        <v>139</v>
      </c>
      <c r="B71" s="93"/>
      <c r="C71" s="112">
        <f>F71/4</f>
        <v>31941.024077080816</v>
      </c>
      <c r="D71" s="112">
        <f>F71/4*2</f>
        <v>63882.04815416163</v>
      </c>
      <c r="E71" s="112">
        <f>F71/4*3</f>
        <v>95823.07223124245</v>
      </c>
      <c r="F71" s="112">
        <f>Horticulture!D48*Horticulture!B34</f>
        <v>127764.09630832326</v>
      </c>
      <c r="G71" s="112">
        <f>F71</f>
        <v>127764.09630832326</v>
      </c>
      <c r="H71" s="112">
        <f aca="true" t="shared" si="19" ref="H71:U71">G71</f>
        <v>127764.09630832326</v>
      </c>
      <c r="I71" s="112">
        <f t="shared" si="19"/>
        <v>127764.09630832326</v>
      </c>
      <c r="J71" s="112">
        <f t="shared" si="19"/>
        <v>127764.09630832326</v>
      </c>
      <c r="K71" s="112">
        <f t="shared" si="19"/>
        <v>127764.09630832326</v>
      </c>
      <c r="L71" s="112">
        <f t="shared" si="19"/>
        <v>127764.09630832326</v>
      </c>
      <c r="M71" s="112">
        <f t="shared" si="19"/>
        <v>127764.09630832326</v>
      </c>
      <c r="N71" s="112">
        <f t="shared" si="19"/>
        <v>127764.09630832326</v>
      </c>
      <c r="O71" s="112">
        <f t="shared" si="19"/>
        <v>127764.09630832326</v>
      </c>
      <c r="P71" s="112">
        <f t="shared" si="19"/>
        <v>127764.09630832326</v>
      </c>
      <c r="Q71" s="112">
        <f t="shared" si="19"/>
        <v>127764.09630832326</v>
      </c>
      <c r="R71" s="112">
        <f t="shared" si="19"/>
        <v>127764.09630832326</v>
      </c>
      <c r="S71" s="112">
        <f t="shared" si="19"/>
        <v>127764.09630832326</v>
      </c>
      <c r="T71" s="112">
        <f t="shared" si="19"/>
        <v>127764.09630832326</v>
      </c>
      <c r="U71" s="112">
        <f t="shared" si="19"/>
        <v>127764.09630832326</v>
      </c>
    </row>
    <row r="72" spans="1:21" ht="12.75">
      <c r="A72" s="111"/>
      <c r="B72" s="93"/>
      <c r="C72" s="112"/>
      <c r="D72" s="112"/>
      <c r="E72" s="112"/>
      <c r="F72" s="112"/>
      <c r="G72" s="112"/>
      <c r="H72" s="112"/>
      <c r="I72" s="112"/>
      <c r="J72" s="112"/>
      <c r="K72" s="112"/>
      <c r="L72" s="112"/>
      <c r="M72" s="112"/>
      <c r="N72" s="112"/>
      <c r="O72" s="112"/>
      <c r="P72" s="112"/>
      <c r="Q72" s="112"/>
      <c r="R72" s="112"/>
      <c r="S72" s="112"/>
      <c r="T72" s="112"/>
      <c r="U72" s="112"/>
    </row>
    <row r="73" spans="1:21" ht="25.5">
      <c r="A73" s="111" t="s">
        <v>136</v>
      </c>
      <c r="B73" s="93"/>
      <c r="C73" s="112">
        <f>F73/4</f>
        <v>41002.118441721046</v>
      </c>
      <c r="D73" s="112">
        <f>F73/4*2</f>
        <v>82004.23688344209</v>
      </c>
      <c r="E73" s="112">
        <f>F73/4*3</f>
        <v>123006.35532516314</v>
      </c>
      <c r="F73" s="112">
        <f>Horticulture!D49*Horticulture!B39</f>
        <v>164008.47376688418</v>
      </c>
      <c r="G73" s="112">
        <f>F73</f>
        <v>164008.47376688418</v>
      </c>
      <c r="H73" s="112">
        <f aca="true" t="shared" si="20" ref="H73:U73">G73</f>
        <v>164008.47376688418</v>
      </c>
      <c r="I73" s="112">
        <f t="shared" si="20"/>
        <v>164008.47376688418</v>
      </c>
      <c r="J73" s="112">
        <f t="shared" si="20"/>
        <v>164008.47376688418</v>
      </c>
      <c r="K73" s="112">
        <f t="shared" si="20"/>
        <v>164008.47376688418</v>
      </c>
      <c r="L73" s="112">
        <f t="shared" si="20"/>
        <v>164008.47376688418</v>
      </c>
      <c r="M73" s="112">
        <f t="shared" si="20"/>
        <v>164008.47376688418</v>
      </c>
      <c r="N73" s="112">
        <f t="shared" si="20"/>
        <v>164008.47376688418</v>
      </c>
      <c r="O73" s="112">
        <f t="shared" si="20"/>
        <v>164008.47376688418</v>
      </c>
      <c r="P73" s="112">
        <f t="shared" si="20"/>
        <v>164008.47376688418</v>
      </c>
      <c r="Q73" s="112">
        <f t="shared" si="20"/>
        <v>164008.47376688418</v>
      </c>
      <c r="R73" s="112">
        <f t="shared" si="20"/>
        <v>164008.47376688418</v>
      </c>
      <c r="S73" s="112">
        <f t="shared" si="20"/>
        <v>164008.47376688418</v>
      </c>
      <c r="T73" s="112">
        <f t="shared" si="20"/>
        <v>164008.47376688418</v>
      </c>
      <c r="U73" s="112">
        <f t="shared" si="20"/>
        <v>164008.47376688418</v>
      </c>
    </row>
    <row r="74" spans="1:21" ht="12.75">
      <c r="A74" s="111"/>
      <c r="B74" s="93"/>
      <c r="C74" s="112"/>
      <c r="D74" s="112"/>
      <c r="E74" s="112"/>
      <c r="F74" s="112"/>
      <c r="G74" s="112"/>
      <c r="H74" s="112"/>
      <c r="I74" s="112"/>
      <c r="J74" s="112"/>
      <c r="K74" s="112"/>
      <c r="L74" s="112"/>
      <c r="M74" s="112"/>
      <c r="N74" s="112"/>
      <c r="O74" s="112"/>
      <c r="P74" s="112"/>
      <c r="Q74" s="112"/>
      <c r="R74" s="112"/>
      <c r="S74" s="112"/>
      <c r="T74" s="112"/>
      <c r="U74" s="112"/>
    </row>
    <row r="75" spans="1:21" ht="25.5">
      <c r="A75" s="113" t="s">
        <v>138</v>
      </c>
      <c r="B75" s="93"/>
      <c r="C75" s="112">
        <f>F75/4</f>
        <v>0</v>
      </c>
      <c r="D75" s="112">
        <f>F75/4*2</f>
        <v>0</v>
      </c>
      <c r="E75" s="112">
        <f>F75/4*3</f>
        <v>0</v>
      </c>
      <c r="F75" s="112">
        <f>Horticulture!D50*Horticulture!B41</f>
        <v>0</v>
      </c>
      <c r="G75" s="112">
        <f>F75</f>
        <v>0</v>
      </c>
      <c r="H75" s="112">
        <f aca="true" t="shared" si="21" ref="H75:U75">G75</f>
        <v>0</v>
      </c>
      <c r="I75" s="112">
        <f t="shared" si="21"/>
        <v>0</v>
      </c>
      <c r="J75" s="112">
        <f t="shared" si="21"/>
        <v>0</v>
      </c>
      <c r="K75" s="112">
        <f t="shared" si="21"/>
        <v>0</v>
      </c>
      <c r="L75" s="112">
        <f t="shared" si="21"/>
        <v>0</v>
      </c>
      <c r="M75" s="112">
        <f t="shared" si="21"/>
        <v>0</v>
      </c>
      <c r="N75" s="112">
        <f t="shared" si="21"/>
        <v>0</v>
      </c>
      <c r="O75" s="112">
        <f t="shared" si="21"/>
        <v>0</v>
      </c>
      <c r="P75" s="112">
        <f t="shared" si="21"/>
        <v>0</v>
      </c>
      <c r="Q75" s="112">
        <f t="shared" si="21"/>
        <v>0</v>
      </c>
      <c r="R75" s="112">
        <f t="shared" si="21"/>
        <v>0</v>
      </c>
      <c r="S75" s="112">
        <f t="shared" si="21"/>
        <v>0</v>
      </c>
      <c r="T75" s="112">
        <f t="shared" si="21"/>
        <v>0</v>
      </c>
      <c r="U75" s="112">
        <f t="shared" si="21"/>
        <v>0</v>
      </c>
    </row>
    <row r="77" spans="1:21" s="108" customFormat="1" ht="12.75">
      <c r="A77" s="117" t="s">
        <v>264</v>
      </c>
      <c r="K77" s="14"/>
      <c r="P77" s="14"/>
      <c r="Q77" s="15"/>
      <c r="R77" s="15"/>
      <c r="S77" s="15"/>
      <c r="T77" s="15"/>
      <c r="U77" s="21"/>
    </row>
    <row r="78" spans="1:21" ht="25.5">
      <c r="A78" s="111" t="s">
        <v>137</v>
      </c>
      <c r="B78" s="93"/>
      <c r="C78" s="112">
        <f>F78/4</f>
        <v>37748.902254320055</v>
      </c>
      <c r="D78" s="112">
        <f>F78/4*2</f>
        <v>75497.80450864011</v>
      </c>
      <c r="E78" s="112">
        <f>F78/4*3</f>
        <v>113246.70676296017</v>
      </c>
      <c r="F78" s="112">
        <f>Horticulture!$E$47*Horticulture!$B$29</f>
        <v>150995.60901728022</v>
      </c>
      <c r="G78" s="112">
        <f>F78</f>
        <v>150995.60901728022</v>
      </c>
      <c r="H78" s="112">
        <f aca="true" t="shared" si="22" ref="H78:U78">G78</f>
        <v>150995.60901728022</v>
      </c>
      <c r="I78" s="112">
        <f t="shared" si="22"/>
        <v>150995.60901728022</v>
      </c>
      <c r="J78" s="112">
        <f t="shared" si="22"/>
        <v>150995.60901728022</v>
      </c>
      <c r="K78" s="112">
        <f t="shared" si="22"/>
        <v>150995.60901728022</v>
      </c>
      <c r="L78" s="112">
        <f t="shared" si="22"/>
        <v>150995.60901728022</v>
      </c>
      <c r="M78" s="112">
        <f t="shared" si="22"/>
        <v>150995.60901728022</v>
      </c>
      <c r="N78" s="112">
        <f t="shared" si="22"/>
        <v>150995.60901728022</v>
      </c>
      <c r="O78" s="112">
        <f t="shared" si="22"/>
        <v>150995.60901728022</v>
      </c>
      <c r="P78" s="112">
        <f t="shared" si="22"/>
        <v>150995.60901728022</v>
      </c>
      <c r="Q78" s="112">
        <f t="shared" si="22"/>
        <v>150995.60901728022</v>
      </c>
      <c r="R78" s="112">
        <f t="shared" si="22"/>
        <v>150995.60901728022</v>
      </c>
      <c r="S78" s="112">
        <f t="shared" si="22"/>
        <v>150995.60901728022</v>
      </c>
      <c r="T78" s="112">
        <f t="shared" si="22"/>
        <v>150995.60901728022</v>
      </c>
      <c r="U78" s="112">
        <f t="shared" si="22"/>
        <v>150995.60901728022</v>
      </c>
    </row>
    <row r="79" spans="1:21" ht="12.75">
      <c r="A79" s="111"/>
      <c r="B79" s="93"/>
      <c r="C79" s="112"/>
      <c r="D79" s="112"/>
      <c r="E79" s="112"/>
      <c r="F79" s="112"/>
      <c r="G79" s="112"/>
      <c r="H79" s="112"/>
      <c r="I79" s="112"/>
      <c r="J79" s="112"/>
      <c r="K79" s="112"/>
      <c r="L79" s="112"/>
      <c r="M79" s="112"/>
      <c r="N79" s="112"/>
      <c r="O79" s="112"/>
      <c r="P79" s="112"/>
      <c r="Q79" s="112"/>
      <c r="R79" s="112"/>
      <c r="S79" s="112"/>
      <c r="T79" s="112"/>
      <c r="U79" s="112"/>
    </row>
    <row r="80" spans="1:21" ht="25.5">
      <c r="A80" s="111" t="s">
        <v>139</v>
      </c>
      <c r="B80" s="93"/>
      <c r="C80" s="112">
        <f>F80/4</f>
        <v>0</v>
      </c>
      <c r="D80" s="112">
        <f>F80/4*2</f>
        <v>0</v>
      </c>
      <c r="E80" s="112">
        <f>F80/4*3</f>
        <v>0</v>
      </c>
      <c r="F80" s="112">
        <f>Horticulture!E75*Horticulture!B65</f>
        <v>0</v>
      </c>
      <c r="G80" s="112">
        <f>F80</f>
        <v>0</v>
      </c>
      <c r="H80" s="112">
        <f aca="true" t="shared" si="23" ref="H80:U80">G80</f>
        <v>0</v>
      </c>
      <c r="I80" s="112">
        <f t="shared" si="23"/>
        <v>0</v>
      </c>
      <c r="J80" s="112">
        <f t="shared" si="23"/>
        <v>0</v>
      </c>
      <c r="K80" s="112">
        <f t="shared" si="23"/>
        <v>0</v>
      </c>
      <c r="L80" s="112">
        <f t="shared" si="23"/>
        <v>0</v>
      </c>
      <c r="M80" s="112">
        <f t="shared" si="23"/>
        <v>0</v>
      </c>
      <c r="N80" s="112">
        <f t="shared" si="23"/>
        <v>0</v>
      </c>
      <c r="O80" s="112">
        <f t="shared" si="23"/>
        <v>0</v>
      </c>
      <c r="P80" s="112">
        <f t="shared" si="23"/>
        <v>0</v>
      </c>
      <c r="Q80" s="112">
        <f t="shared" si="23"/>
        <v>0</v>
      </c>
      <c r="R80" s="112">
        <f t="shared" si="23"/>
        <v>0</v>
      </c>
      <c r="S80" s="112">
        <f t="shared" si="23"/>
        <v>0</v>
      </c>
      <c r="T80" s="112">
        <f t="shared" si="23"/>
        <v>0</v>
      </c>
      <c r="U80" s="112">
        <f t="shared" si="23"/>
        <v>0</v>
      </c>
    </row>
    <row r="81" spans="1:21" ht="12.75">
      <c r="A81" s="111"/>
      <c r="B81" s="93"/>
      <c r="C81" s="112"/>
      <c r="D81" s="112"/>
      <c r="E81" s="112"/>
      <c r="F81" s="112"/>
      <c r="G81" s="112"/>
      <c r="H81" s="112"/>
      <c r="I81" s="112"/>
      <c r="J81" s="112"/>
      <c r="K81" s="112"/>
      <c r="L81" s="112"/>
      <c r="M81" s="112"/>
      <c r="N81" s="112"/>
      <c r="O81" s="112"/>
      <c r="P81" s="112"/>
      <c r="Q81" s="112"/>
      <c r="R81" s="112"/>
      <c r="S81" s="112"/>
      <c r="T81" s="112"/>
      <c r="U81" s="112"/>
    </row>
    <row r="82" spans="1:21" ht="25.5">
      <c r="A82" s="111" t="s">
        <v>136</v>
      </c>
      <c r="B82" s="93"/>
      <c r="C82" s="112">
        <f>F82/4</f>
        <v>49392.38282189312</v>
      </c>
      <c r="D82" s="112">
        <f>F82/4*2</f>
        <v>98784.76564378625</v>
      </c>
      <c r="E82" s="112">
        <f>F82/4*3</f>
        <v>148177.14846567938</v>
      </c>
      <c r="F82" s="112">
        <f>Horticulture!$E$49*Horticulture!$B$38</f>
        <v>197569.5312875725</v>
      </c>
      <c r="G82" s="112">
        <f>F82</f>
        <v>197569.5312875725</v>
      </c>
      <c r="H82" s="112">
        <f aca="true" t="shared" si="24" ref="H82:U82">G82</f>
        <v>197569.5312875725</v>
      </c>
      <c r="I82" s="112">
        <f t="shared" si="24"/>
        <v>197569.5312875725</v>
      </c>
      <c r="J82" s="112">
        <f t="shared" si="24"/>
        <v>197569.5312875725</v>
      </c>
      <c r="K82" s="112">
        <f t="shared" si="24"/>
        <v>197569.5312875725</v>
      </c>
      <c r="L82" s="112">
        <f t="shared" si="24"/>
        <v>197569.5312875725</v>
      </c>
      <c r="M82" s="112">
        <f t="shared" si="24"/>
        <v>197569.5312875725</v>
      </c>
      <c r="N82" s="112">
        <f t="shared" si="24"/>
        <v>197569.5312875725</v>
      </c>
      <c r="O82" s="112">
        <f t="shared" si="24"/>
        <v>197569.5312875725</v>
      </c>
      <c r="P82" s="112">
        <f t="shared" si="24"/>
        <v>197569.5312875725</v>
      </c>
      <c r="Q82" s="112">
        <f t="shared" si="24"/>
        <v>197569.5312875725</v>
      </c>
      <c r="R82" s="112">
        <f t="shared" si="24"/>
        <v>197569.5312875725</v>
      </c>
      <c r="S82" s="112">
        <f t="shared" si="24"/>
        <v>197569.5312875725</v>
      </c>
      <c r="T82" s="112">
        <f t="shared" si="24"/>
        <v>197569.5312875725</v>
      </c>
      <c r="U82" s="112">
        <f t="shared" si="24"/>
        <v>197569.5312875725</v>
      </c>
    </row>
    <row r="83" spans="1:21" ht="12.75">
      <c r="A83" s="111"/>
      <c r="B83" s="93"/>
      <c r="C83" s="112"/>
      <c r="D83" s="112"/>
      <c r="E83" s="112"/>
      <c r="F83" s="112"/>
      <c r="G83" s="112"/>
      <c r="H83" s="112"/>
      <c r="I83" s="112"/>
      <c r="J83" s="112"/>
      <c r="K83" s="112"/>
      <c r="L83" s="112"/>
      <c r="M83" s="112"/>
      <c r="N83" s="112"/>
      <c r="O83" s="112"/>
      <c r="P83" s="112"/>
      <c r="Q83" s="112"/>
      <c r="R83" s="112"/>
      <c r="S83" s="112"/>
      <c r="T83" s="112"/>
      <c r="U83" s="112"/>
    </row>
    <row r="84" spans="1:21" ht="25.5">
      <c r="A84" s="113" t="s">
        <v>138</v>
      </c>
      <c r="B84" s="93"/>
      <c r="C84" s="112">
        <f>F84/4</f>
        <v>0</v>
      </c>
      <c r="D84" s="112">
        <f>F84/4*2</f>
        <v>0</v>
      </c>
      <c r="E84" s="112">
        <f>F84/4*3</f>
        <v>0</v>
      </c>
      <c r="F84" s="112">
        <f>Horticulture!E77*Horticulture!B68</f>
        <v>0</v>
      </c>
      <c r="G84" s="112">
        <f>F84</f>
        <v>0</v>
      </c>
      <c r="H84" s="112">
        <f aca="true" t="shared" si="25" ref="H84:U84">G84</f>
        <v>0</v>
      </c>
      <c r="I84" s="112">
        <f t="shared" si="25"/>
        <v>0</v>
      </c>
      <c r="J84" s="112">
        <f t="shared" si="25"/>
        <v>0</v>
      </c>
      <c r="K84" s="112">
        <f t="shared" si="25"/>
        <v>0</v>
      </c>
      <c r="L84" s="112">
        <f t="shared" si="25"/>
        <v>0</v>
      </c>
      <c r="M84" s="112">
        <f t="shared" si="25"/>
        <v>0</v>
      </c>
      <c r="N84" s="112">
        <f t="shared" si="25"/>
        <v>0</v>
      </c>
      <c r="O84" s="112">
        <f t="shared" si="25"/>
        <v>0</v>
      </c>
      <c r="P84" s="112">
        <f t="shared" si="25"/>
        <v>0</v>
      </c>
      <c r="Q84" s="112">
        <f t="shared" si="25"/>
        <v>0</v>
      </c>
      <c r="R84" s="112">
        <f t="shared" si="25"/>
        <v>0</v>
      </c>
      <c r="S84" s="112">
        <f t="shared" si="25"/>
        <v>0</v>
      </c>
      <c r="T84" s="112">
        <f t="shared" si="25"/>
        <v>0</v>
      </c>
      <c r="U84" s="112">
        <f t="shared" si="25"/>
        <v>0</v>
      </c>
    </row>
  </sheetData>
  <mergeCells count="3">
    <mergeCell ref="G9:H9"/>
    <mergeCell ref="G8:H8"/>
    <mergeCell ref="A4:F4"/>
  </mergeCells>
  <conditionalFormatting sqref="A4">
    <cfRule type="cellIs" priority="1" dxfId="0" operator="equal" stopIfTrue="1">
      <formula>0</formula>
    </cfRule>
    <cfRule type="cellIs" priority="2" dxfId="1" operator="notEqual" stopIfTrue="1">
      <formula>0</formula>
    </cfRule>
  </conditionalFormatting>
  <printOptions/>
  <pageMargins left="0.75" right="0.75" top="1" bottom="1" header="0.5" footer="0.5"/>
  <pageSetup fitToHeight="2" fitToWidth="1" horizontalDpi="600" verticalDpi="600" orientation="landscape" scale="41" r:id="rId2"/>
  <headerFooter alignWithMargins="0">
    <oddFooter>&amp;L&amp;G&amp;R&amp;P / &amp;N</oddFooter>
  </headerFooter>
  <legacyDrawingHF r:id="rId1"/>
</worksheet>
</file>

<file path=xl/worksheets/sheet6.xml><?xml version="1.0" encoding="utf-8"?>
<worksheet xmlns="http://schemas.openxmlformats.org/spreadsheetml/2006/main" xmlns:r="http://schemas.openxmlformats.org/officeDocument/2006/relationships">
  <sheetPr codeName="Sheet4"/>
  <dimension ref="A1:N67"/>
  <sheetViews>
    <sheetView workbookViewId="0" topLeftCell="A1">
      <selection activeCell="F4" sqref="F4"/>
    </sheetView>
  </sheetViews>
  <sheetFormatPr defaultColWidth="9.140625" defaultRowHeight="12.75"/>
  <cols>
    <col min="1" max="1" width="28.140625" style="3" customWidth="1"/>
    <col min="2" max="2" width="15.421875" style="3" bestFit="1" customWidth="1"/>
    <col min="3" max="3" width="16.57421875" style="3" bestFit="1" customWidth="1"/>
    <col min="4" max="4" width="16.28125" style="3" bestFit="1" customWidth="1"/>
    <col min="5" max="6" width="14.140625" style="3" bestFit="1" customWidth="1"/>
    <col min="7" max="7" width="15.421875" style="3" bestFit="1" customWidth="1"/>
    <col min="8" max="8" width="14.140625" style="3" bestFit="1" customWidth="1"/>
    <col min="9" max="9" width="15.57421875" style="3" customWidth="1"/>
    <col min="10" max="11" width="9.140625" style="3" customWidth="1"/>
    <col min="12" max="13" width="9.28125" style="3" bestFit="1" customWidth="1"/>
    <col min="14" max="16384" width="9.140625" style="3" customWidth="1"/>
  </cols>
  <sheetData>
    <row r="1" ht="20.25">
      <c r="A1" s="86" t="s">
        <v>318</v>
      </c>
    </row>
    <row r="2" spans="1:6" ht="12.75">
      <c r="A2" s="371">
        <f>IF('ERR &amp; Sensitivity Analysis'!$I$10="N","Note: Current calculations are based on user input and are not the original MCC estimates.",IF('ERR &amp; Sensitivity Analysis'!$I$11="N","Note: Current calculations are based on user input and are not the original MCC estimates.",0))</f>
        <v>0</v>
      </c>
      <c r="B2" s="371"/>
      <c r="C2" s="371"/>
      <c r="D2" s="371"/>
      <c r="E2" s="371"/>
      <c r="F2" s="371"/>
    </row>
    <row r="3" ht="18">
      <c r="A3" s="88" t="s">
        <v>322</v>
      </c>
    </row>
    <row r="4" ht="12.75">
      <c r="A4" s="2"/>
    </row>
    <row r="5" spans="1:13" ht="12.75">
      <c r="A5" s="3" t="s">
        <v>310</v>
      </c>
      <c r="K5" s="3" t="s">
        <v>239</v>
      </c>
      <c r="M5" s="3" t="s">
        <v>248</v>
      </c>
    </row>
    <row r="6" spans="1:13" ht="12.75">
      <c r="A6" s="3" t="s">
        <v>250</v>
      </c>
      <c r="G6" s="118"/>
      <c r="K6" s="119">
        <v>1</v>
      </c>
      <c r="M6" s="120">
        <f>'Ag ERR'!B13</f>
        <v>0.02</v>
      </c>
    </row>
    <row r="7" ht="12.75"/>
    <row r="8" ht="12.75"/>
    <row r="9" spans="1:9" ht="12.75">
      <c r="A9" s="386" t="s">
        <v>267</v>
      </c>
      <c r="B9" s="387"/>
      <c r="C9" s="387"/>
      <c r="D9" s="387"/>
      <c r="E9" s="387"/>
      <c r="F9" s="387"/>
      <c r="G9" s="387"/>
      <c r="H9" s="387"/>
      <c r="I9" s="370"/>
    </row>
    <row r="10" spans="1:9" ht="12.75">
      <c r="A10" s="49"/>
      <c r="B10" s="41" t="s">
        <v>268</v>
      </c>
      <c r="C10" s="41" t="s">
        <v>269</v>
      </c>
      <c r="D10" s="41" t="s">
        <v>270</v>
      </c>
      <c r="E10" s="41" t="s">
        <v>271</v>
      </c>
      <c r="F10" s="41" t="s">
        <v>272</v>
      </c>
      <c r="G10" s="41" t="s">
        <v>161</v>
      </c>
      <c r="H10" s="42"/>
      <c r="I10" s="121"/>
    </row>
    <row r="11" spans="1:9" ht="12.75">
      <c r="A11" s="43" t="s">
        <v>265</v>
      </c>
      <c r="B11" s="44">
        <f aca="true" t="shared" si="0" ref="B11:G11">B13+B14+B15+B16+B17+B18</f>
        <v>3549405.322230091</v>
      </c>
      <c r="C11" s="44">
        <f t="shared" si="0"/>
        <v>4219963.969647928</v>
      </c>
      <c r="D11" s="44">
        <f t="shared" si="0"/>
        <v>2845741.2210548376</v>
      </c>
      <c r="E11" s="44">
        <f t="shared" si="0"/>
        <v>1185588.4743669238</v>
      </c>
      <c r="F11" s="44">
        <f t="shared" si="0"/>
        <v>492930.3938869313</v>
      </c>
      <c r="G11" s="44">
        <f t="shared" si="0"/>
        <v>12308223.465134017</v>
      </c>
      <c r="H11" s="47"/>
      <c r="I11" s="121"/>
    </row>
    <row r="12" spans="1:9" ht="12.75">
      <c r="A12" s="43" t="s">
        <v>289</v>
      </c>
      <c r="B12" s="45">
        <f aca="true" t="shared" si="1" ref="B12:G12">B13+B14+B15</f>
        <v>2864776</v>
      </c>
      <c r="C12" s="45">
        <f t="shared" si="1"/>
        <v>3689815</v>
      </c>
      <c r="D12" s="45">
        <f t="shared" si="1"/>
        <v>2528789</v>
      </c>
      <c r="E12" s="45">
        <f t="shared" si="1"/>
        <v>1006959</v>
      </c>
      <c r="F12" s="45">
        <f t="shared" si="1"/>
        <v>293618</v>
      </c>
      <c r="G12" s="45">
        <f t="shared" si="1"/>
        <v>10383957</v>
      </c>
      <c r="H12" s="47"/>
      <c r="I12" s="121">
        <f aca="true" t="shared" si="2" ref="I12:I18">G12/$G$11</f>
        <v>0.8436600967974817</v>
      </c>
    </row>
    <row r="13" spans="1:9" ht="12.75">
      <c r="A13" s="49" t="s">
        <v>164</v>
      </c>
      <c r="B13" s="122">
        <f aca="true" t="shared" si="3" ref="B13:F14">B22+B31+B39</f>
        <v>1536465</v>
      </c>
      <c r="C13" s="122">
        <f t="shared" si="3"/>
        <v>1945721</v>
      </c>
      <c r="D13" s="122">
        <f t="shared" si="3"/>
        <v>1709033</v>
      </c>
      <c r="E13" s="122">
        <f t="shared" si="3"/>
        <v>927444</v>
      </c>
      <c r="F13" s="122">
        <f t="shared" si="3"/>
        <v>235790</v>
      </c>
      <c r="G13" s="122">
        <f aca="true" t="shared" si="4" ref="G13:G18">SUM(B13:F13)</f>
        <v>6354453</v>
      </c>
      <c r="H13" s="47"/>
      <c r="I13" s="121">
        <f t="shared" si="2"/>
        <v>0.5162770255187928</v>
      </c>
    </row>
    <row r="14" spans="1:9" ht="12.75">
      <c r="A14" s="49" t="s">
        <v>221</v>
      </c>
      <c r="B14" s="122">
        <f t="shared" si="3"/>
        <v>1278311</v>
      </c>
      <c r="C14" s="122">
        <f t="shared" si="3"/>
        <v>1474094</v>
      </c>
      <c r="D14" s="122">
        <f t="shared" si="3"/>
        <v>639756</v>
      </c>
      <c r="E14" s="122">
        <f t="shared" si="3"/>
        <v>79515</v>
      </c>
      <c r="F14" s="122">
        <f t="shared" si="3"/>
        <v>57828</v>
      </c>
      <c r="G14" s="122">
        <f t="shared" si="4"/>
        <v>3529504</v>
      </c>
      <c r="H14" s="47"/>
      <c r="I14" s="121">
        <f t="shared" si="2"/>
        <v>0.28675982443755293</v>
      </c>
    </row>
    <row r="15" spans="1:9" ht="12.75">
      <c r="A15" s="49" t="s">
        <v>165</v>
      </c>
      <c r="B15" s="122">
        <v>50000</v>
      </c>
      <c r="C15" s="122">
        <v>270000</v>
      </c>
      <c r="D15" s="122">
        <v>180000</v>
      </c>
      <c r="E15" s="122">
        <v>0</v>
      </c>
      <c r="F15" s="122">
        <v>0</v>
      </c>
      <c r="G15" s="122">
        <f t="shared" si="4"/>
        <v>500000</v>
      </c>
      <c r="H15" s="47"/>
      <c r="I15" s="121">
        <f t="shared" si="2"/>
        <v>0.040623246841135885</v>
      </c>
    </row>
    <row r="16" spans="1:13" ht="12.75">
      <c r="A16" s="49" t="s">
        <v>174</v>
      </c>
      <c r="B16" s="122">
        <f>$G$16/5</f>
        <v>75903.6</v>
      </c>
      <c r="C16" s="122">
        <f>$G$16/5/(1+M6)</f>
        <v>74415.29411764706</v>
      </c>
      <c r="D16" s="122">
        <f>$G$16/5/(1+M6)^2</f>
        <v>72956.17070357555</v>
      </c>
      <c r="E16" s="122">
        <f>$G$16/5/(1+M6)^3</f>
        <v>71525.65755252505</v>
      </c>
      <c r="F16" s="122">
        <f>$G$16/5/(1+M6)^4</f>
        <v>70123.19367894613</v>
      </c>
      <c r="G16" s="122">
        <f>500000-B17</f>
        <v>379518</v>
      </c>
      <c r="H16" s="47"/>
      <c r="I16" s="121">
        <f t="shared" si="2"/>
        <v>0.030834506789308415</v>
      </c>
      <c r="K16" s="386" t="s">
        <v>288</v>
      </c>
      <c r="L16" s="387"/>
      <c r="M16" s="370"/>
    </row>
    <row r="17" spans="1:13" ht="12.75">
      <c r="A17" s="49" t="s">
        <v>287</v>
      </c>
      <c r="B17" s="122">
        <v>120482</v>
      </c>
      <c r="C17" s="122">
        <v>0</v>
      </c>
      <c r="D17" s="122">
        <v>0</v>
      </c>
      <c r="E17" s="122">
        <v>0</v>
      </c>
      <c r="F17" s="122">
        <v>0</v>
      </c>
      <c r="G17" s="122">
        <f t="shared" si="4"/>
        <v>120482</v>
      </c>
      <c r="H17" s="47"/>
      <c r="I17" s="121">
        <f t="shared" si="2"/>
        <v>0.009788740051827467</v>
      </c>
      <c r="K17" s="49" t="s">
        <v>285</v>
      </c>
      <c r="L17" s="47"/>
      <c r="M17" s="123"/>
    </row>
    <row r="18" spans="1:13" ht="12.75">
      <c r="A18" s="49" t="s">
        <v>253</v>
      </c>
      <c r="B18" s="122">
        <f>'Admin Costs'!B11*'Admin Costs'!B8</f>
        <v>488243.7222300908</v>
      </c>
      <c r="C18" s="122">
        <f>('Admin Costs'!C11*'Admin Costs'!C8)/(1+M6)</f>
        <v>455733.6755302807</v>
      </c>
      <c r="D18" s="122">
        <f>'Admin Costs'!D11*'Admin Costs'!D8/(1+M6)^2</f>
        <v>243996.0503512619</v>
      </c>
      <c r="E18" s="122">
        <f>'Admin Costs'!E11*'Admin Costs'!E8/(1+M6)^3</f>
        <v>107103.81681439895</v>
      </c>
      <c r="F18" s="122">
        <f>'Admin Costs'!F11*'Admin Costs'!F8/(1+M6)^4</f>
        <v>129189.20020798518</v>
      </c>
      <c r="G18" s="122">
        <f t="shared" si="4"/>
        <v>1424266.4651340174</v>
      </c>
      <c r="H18" s="47"/>
      <c r="I18" s="121">
        <f t="shared" si="2"/>
        <v>0.11571665636138248</v>
      </c>
      <c r="K18" s="49" t="s">
        <v>282</v>
      </c>
      <c r="L18" s="124">
        <f>Horticulture!C45</f>
        <v>50</v>
      </c>
      <c r="M18" s="121">
        <f>L18/L21</f>
        <v>0.44642857142857145</v>
      </c>
    </row>
    <row r="19" spans="1:13" ht="12.75">
      <c r="A19" s="125"/>
      <c r="B19" s="47"/>
      <c r="C19" s="47"/>
      <c r="D19" s="47"/>
      <c r="E19" s="47"/>
      <c r="F19" s="47"/>
      <c r="G19" s="47"/>
      <c r="H19" s="47"/>
      <c r="I19" s="121"/>
      <c r="K19" s="49" t="s">
        <v>283</v>
      </c>
      <c r="L19" s="124">
        <f>Horticulture!D45</f>
        <v>32</v>
      </c>
      <c r="M19" s="121">
        <f>L19/L21</f>
        <v>0.2857142857142857</v>
      </c>
    </row>
    <row r="20" spans="1:13" ht="12.75">
      <c r="A20" s="43" t="s">
        <v>170</v>
      </c>
      <c r="B20" s="46">
        <f aca="true" t="shared" si="5" ref="B20:G20">SUM(B22:B27)</f>
        <v>1554997.2031919456</v>
      </c>
      <c r="C20" s="46">
        <f t="shared" si="5"/>
        <v>2072036.3108277826</v>
      </c>
      <c r="D20" s="46">
        <f t="shared" si="5"/>
        <v>1226246.7963453894</v>
      </c>
      <c r="E20" s="46">
        <f t="shared" si="5"/>
        <v>441951.8634491851</v>
      </c>
      <c r="F20" s="46">
        <f t="shared" si="5"/>
        <v>150965.57918855333</v>
      </c>
      <c r="G20" s="46">
        <f t="shared" si="5"/>
        <v>5446197.753002856</v>
      </c>
      <c r="H20" s="122"/>
      <c r="I20" s="121">
        <f aca="true" t="shared" si="6" ref="I20:I43">G20/$G$11</f>
        <v>0.44248447133174923</v>
      </c>
      <c r="K20" s="49" t="s">
        <v>284</v>
      </c>
      <c r="L20" s="126">
        <f>Horticulture!E45</f>
        <v>30</v>
      </c>
      <c r="M20" s="127">
        <f>L20/L21</f>
        <v>0.26785714285714285</v>
      </c>
    </row>
    <row r="21" spans="1:13" ht="12.75">
      <c r="A21" s="43" t="s">
        <v>289</v>
      </c>
      <c r="B21" s="45">
        <f aca="true" t="shared" si="7" ref="B21:G21">B22+B23+B24</f>
        <v>1187702.4285714286</v>
      </c>
      <c r="C21" s="45">
        <f t="shared" si="7"/>
        <v>1840097.7142857143</v>
      </c>
      <c r="D21" s="45">
        <f t="shared" si="7"/>
        <v>1087581.142857143</v>
      </c>
      <c r="E21" s="45">
        <f t="shared" si="7"/>
        <v>363802</v>
      </c>
      <c r="F21" s="45">
        <f t="shared" si="7"/>
        <v>63767</v>
      </c>
      <c r="G21" s="45">
        <f t="shared" si="7"/>
        <v>4542950.285714285</v>
      </c>
      <c r="H21" s="122"/>
      <c r="I21" s="121">
        <f t="shared" si="6"/>
        <v>0.36909878168716037</v>
      </c>
      <c r="K21" s="49"/>
      <c r="L21" s="124">
        <f>SUM(L18:L20)</f>
        <v>112</v>
      </c>
      <c r="M21" s="121">
        <f>SUM(M18:M20)</f>
        <v>1</v>
      </c>
    </row>
    <row r="22" spans="1:13" ht="12.75">
      <c r="A22" s="49" t="s">
        <v>164</v>
      </c>
      <c r="B22" s="122">
        <v>670530</v>
      </c>
      <c r="C22" s="122">
        <v>857241</v>
      </c>
      <c r="D22" s="122">
        <v>608759</v>
      </c>
      <c r="E22" s="122">
        <v>344855</v>
      </c>
      <c r="F22" s="122">
        <v>48434</v>
      </c>
      <c r="G22" s="122">
        <f aca="true" t="shared" si="8" ref="G22:G27">SUM(B22:F22)</f>
        <v>2529819</v>
      </c>
      <c r="H22" s="122"/>
      <c r="I22" s="121">
        <f t="shared" si="6"/>
        <v>0.20553892340079108</v>
      </c>
      <c r="K22" s="49"/>
      <c r="L22" s="47"/>
      <c r="M22" s="123"/>
    </row>
    <row r="23" spans="1:13" ht="12.75">
      <c r="A23" s="49" t="s">
        <v>221</v>
      </c>
      <c r="B23" s="122">
        <v>494851</v>
      </c>
      <c r="C23" s="122">
        <v>862321</v>
      </c>
      <c r="D23" s="122">
        <v>398465</v>
      </c>
      <c r="E23" s="122">
        <v>18947</v>
      </c>
      <c r="F23" s="122">
        <v>15333</v>
      </c>
      <c r="G23" s="122">
        <f t="shared" si="8"/>
        <v>1789917</v>
      </c>
      <c r="H23" s="122"/>
      <c r="I23" s="121">
        <f t="shared" si="6"/>
        <v>0.14542448023229082</v>
      </c>
      <c r="K23" s="49"/>
      <c r="L23" s="47"/>
      <c r="M23" s="123"/>
    </row>
    <row r="24" spans="1:13" ht="12.75">
      <c r="A24" s="49" t="s">
        <v>165</v>
      </c>
      <c r="B24" s="122">
        <f>$M$18*B15</f>
        <v>22321.428571428572</v>
      </c>
      <c r="C24" s="122">
        <f>$M$18*C15</f>
        <v>120535.71428571429</v>
      </c>
      <c r="D24" s="122">
        <f>$M$18*D15</f>
        <v>80357.14285714286</v>
      </c>
      <c r="E24" s="122">
        <f>$M$18*E15</f>
        <v>0</v>
      </c>
      <c r="F24" s="122">
        <f>$M$18*F15</f>
        <v>0</v>
      </c>
      <c r="G24" s="122">
        <f t="shared" si="8"/>
        <v>223214.28571428574</v>
      </c>
      <c r="H24" s="122"/>
      <c r="I24" s="121">
        <f t="shared" si="6"/>
        <v>0.01813537805407852</v>
      </c>
      <c r="K24" s="49" t="s">
        <v>281</v>
      </c>
      <c r="L24" s="47"/>
      <c r="M24" s="123"/>
    </row>
    <row r="25" spans="1:13" ht="12.75">
      <c r="A25" s="49" t="s">
        <v>174</v>
      </c>
      <c r="B25" s="122">
        <f>$L$32*B16</f>
        <v>33207.59911724816</v>
      </c>
      <c r="C25" s="122">
        <f>$L$32*C16</f>
        <v>32556.469722792313</v>
      </c>
      <c r="D25" s="122">
        <f>$L$32*D16</f>
        <v>31918.107571365013</v>
      </c>
      <c r="E25" s="122">
        <f>$L$32*E16</f>
        <v>31292.26232486766</v>
      </c>
      <c r="F25" s="122">
        <f>$L$32*F16</f>
        <v>30678.688553791824</v>
      </c>
      <c r="G25" s="122">
        <f t="shared" si="8"/>
        <v>159653.12729006496</v>
      </c>
      <c r="H25" s="122"/>
      <c r="I25" s="121">
        <f t="shared" si="6"/>
        <v>0.012971256797727192</v>
      </c>
      <c r="K25" s="49" t="s">
        <v>282</v>
      </c>
      <c r="L25" s="128">
        <f>G21/G12</f>
        <v>0.43749702408381363</v>
      </c>
      <c r="M25" s="123"/>
    </row>
    <row r="26" spans="1:13" ht="12.75">
      <c r="A26" s="49" t="s">
        <v>287</v>
      </c>
      <c r="B26" s="122">
        <f>B17</f>
        <v>120482</v>
      </c>
      <c r="C26" s="122">
        <f>C17</f>
        <v>0</v>
      </c>
      <c r="D26" s="122">
        <f>D17</f>
        <v>0</v>
      </c>
      <c r="E26" s="122">
        <f>E17</f>
        <v>0</v>
      </c>
      <c r="F26" s="122">
        <f>F17</f>
        <v>0</v>
      </c>
      <c r="G26" s="122">
        <f t="shared" si="8"/>
        <v>120482</v>
      </c>
      <c r="H26" s="122"/>
      <c r="I26" s="121">
        <f t="shared" si="6"/>
        <v>0.009788740051827467</v>
      </c>
      <c r="K26" s="49" t="s">
        <v>283</v>
      </c>
      <c r="L26" s="128">
        <f>G30/G12</f>
        <v>0.3217976675805902</v>
      </c>
      <c r="M26" s="123"/>
    </row>
    <row r="27" spans="1:13" ht="12.75">
      <c r="A27" s="49" t="s">
        <v>253</v>
      </c>
      <c r="B27" s="122">
        <f>$L$25*B18</f>
        <v>213605.17550326887</v>
      </c>
      <c r="C27" s="122">
        <f>$L$25*C18</f>
        <v>199382.1268192761</v>
      </c>
      <c r="D27" s="122">
        <f>$L$25*D18</f>
        <v>106747.54591688143</v>
      </c>
      <c r="E27" s="122">
        <f>$L$25*E18</f>
        <v>46857.60112431746</v>
      </c>
      <c r="F27" s="122">
        <f>$L$25*F18</f>
        <v>56519.89063476151</v>
      </c>
      <c r="G27" s="122">
        <f t="shared" si="8"/>
        <v>623112.3399985054</v>
      </c>
      <c r="H27" s="122"/>
      <c r="I27" s="121">
        <f t="shared" si="6"/>
        <v>0.05062569279503415</v>
      </c>
      <c r="K27" s="49" t="s">
        <v>284</v>
      </c>
      <c r="L27" s="129">
        <f>G38/G12</f>
        <v>0.24070530833559609</v>
      </c>
      <c r="M27" s="123"/>
    </row>
    <row r="28" spans="1:13" ht="12.75">
      <c r="A28" s="49"/>
      <c r="B28" s="122"/>
      <c r="C28" s="122"/>
      <c r="D28" s="122"/>
      <c r="E28" s="122"/>
      <c r="F28" s="122"/>
      <c r="G28" s="122"/>
      <c r="H28" s="122"/>
      <c r="I28" s="121"/>
      <c r="K28" s="49"/>
      <c r="L28" s="130">
        <f>SUM(L25:L27)</f>
        <v>1</v>
      </c>
      <c r="M28" s="123"/>
    </row>
    <row r="29" spans="1:13" ht="12.75">
      <c r="A29" s="43" t="s">
        <v>171</v>
      </c>
      <c r="B29" s="46">
        <f aca="true" t="shared" si="9" ref="B29:G29">SUM(B31:B35)</f>
        <v>1240770.0067511932</v>
      </c>
      <c r="C29" s="46">
        <f t="shared" si="9"/>
        <v>1235344.5590458133</v>
      </c>
      <c r="D29" s="46">
        <f t="shared" si="9"/>
        <v>896782.0568985058</v>
      </c>
      <c r="E29" s="46">
        <f t="shared" si="9"/>
        <v>432686.548212423</v>
      </c>
      <c r="F29" s="46">
        <f t="shared" si="9"/>
        <v>111707.26347271838</v>
      </c>
      <c r="G29" s="46">
        <f t="shared" si="9"/>
        <v>3917290.434380654</v>
      </c>
      <c r="H29" s="122"/>
      <c r="I29" s="121">
        <f t="shared" si="6"/>
        <v>0.3182661125285314</v>
      </c>
      <c r="K29" s="49"/>
      <c r="L29" s="47"/>
      <c r="M29" s="123"/>
    </row>
    <row r="30" spans="1:13" ht="12.75">
      <c r="A30" s="43" t="s">
        <v>289</v>
      </c>
      <c r="B30" s="45">
        <f aca="true" t="shared" si="10" ref="B30:G30">B31+B32+B33</f>
        <v>1059228.7142857143</v>
      </c>
      <c r="C30" s="45">
        <f t="shared" si="10"/>
        <v>1064743.857142857</v>
      </c>
      <c r="D30" s="45">
        <f t="shared" si="10"/>
        <v>794787.5714285715</v>
      </c>
      <c r="E30" s="45">
        <f t="shared" si="10"/>
        <v>375204</v>
      </c>
      <c r="F30" s="45">
        <f t="shared" si="10"/>
        <v>47569</v>
      </c>
      <c r="G30" s="45">
        <f t="shared" si="10"/>
        <v>3341533.1428571427</v>
      </c>
      <c r="H30" s="122"/>
      <c r="I30" s="121">
        <f t="shared" si="6"/>
        <v>0.27148785138024456</v>
      </c>
      <c r="K30" s="49"/>
      <c r="L30" s="47"/>
      <c r="M30" s="123"/>
    </row>
    <row r="31" spans="1:13" ht="12.75">
      <c r="A31" s="49" t="s">
        <v>164</v>
      </c>
      <c r="B31" s="122">
        <v>530037</v>
      </c>
      <c r="C31" s="122">
        <v>686551</v>
      </c>
      <c r="D31" s="122">
        <v>644116</v>
      </c>
      <c r="E31" s="122">
        <v>366323</v>
      </c>
      <c r="F31" s="122">
        <v>38688</v>
      </c>
      <c r="G31" s="122">
        <f>SUM(B31:F31)</f>
        <v>2265715</v>
      </c>
      <c r="H31" s="122"/>
      <c r="I31" s="121">
        <f t="shared" si="6"/>
        <v>0.18408139943332838</v>
      </c>
      <c r="K31" s="49" t="s">
        <v>286</v>
      </c>
      <c r="L31" s="47"/>
      <c r="M31" s="123"/>
    </row>
    <row r="32" spans="1:13" ht="12.75">
      <c r="A32" s="49" t="s">
        <v>221</v>
      </c>
      <c r="B32" s="122">
        <v>514906</v>
      </c>
      <c r="C32" s="122">
        <v>301050</v>
      </c>
      <c r="D32" s="122">
        <v>99243</v>
      </c>
      <c r="E32" s="122">
        <v>8881</v>
      </c>
      <c r="F32" s="122">
        <v>8881</v>
      </c>
      <c r="G32" s="122">
        <f>SUM(B32:F32)</f>
        <v>932961</v>
      </c>
      <c r="H32" s="122"/>
      <c r="I32" s="121">
        <f t="shared" si="6"/>
        <v>0.07579980999230594</v>
      </c>
      <c r="K32" s="49" t="s">
        <v>282</v>
      </c>
      <c r="L32" s="128">
        <f>L25</f>
        <v>0.43749702408381363</v>
      </c>
      <c r="M32" s="123"/>
    </row>
    <row r="33" spans="1:13" ht="12.75">
      <c r="A33" s="49" t="s">
        <v>165</v>
      </c>
      <c r="B33" s="122">
        <f>$M$19*B15</f>
        <v>14285.714285714284</v>
      </c>
      <c r="C33" s="122">
        <f>$M$19*C15</f>
        <v>77142.85714285714</v>
      </c>
      <c r="D33" s="122">
        <f>$M$19*D15</f>
        <v>51428.57142857143</v>
      </c>
      <c r="E33" s="122">
        <f>$M$19*E15</f>
        <v>0</v>
      </c>
      <c r="F33" s="122">
        <f>$M$19*F15</f>
        <v>0</v>
      </c>
      <c r="G33" s="122">
        <f>SUM(B33:F33)</f>
        <v>142857.14285714287</v>
      </c>
      <c r="H33" s="122"/>
      <c r="I33" s="121">
        <f t="shared" si="6"/>
        <v>0.011606641954610253</v>
      </c>
      <c r="K33" s="49" t="s">
        <v>283</v>
      </c>
      <c r="L33" s="128">
        <f>L26</f>
        <v>0.3217976675805902</v>
      </c>
      <c r="M33" s="123"/>
    </row>
    <row r="34" spans="1:14" ht="12.75">
      <c r="A34" s="49" t="s">
        <v>174</v>
      </c>
      <c r="B34" s="122">
        <f>$L$33*B16</f>
        <v>24425.601440970087</v>
      </c>
      <c r="C34" s="122">
        <f>$L$33*C16</f>
        <v>23946.668079382438</v>
      </c>
      <c r="D34" s="122">
        <f>$L$33*D16</f>
        <v>23477.125568022</v>
      </c>
      <c r="E34" s="122">
        <f>$L$33*E16</f>
        <v>23016.789772570588</v>
      </c>
      <c r="F34" s="122">
        <f>$L$33*F16</f>
        <v>22565.480169186852</v>
      </c>
      <c r="G34" s="122">
        <f>SUM(B34:F34)</f>
        <v>117431.66503013196</v>
      </c>
      <c r="H34" s="122"/>
      <c r="I34" s="121">
        <f t="shared" si="6"/>
        <v>0.00954091103096927</v>
      </c>
      <c r="K34" s="49" t="s">
        <v>284</v>
      </c>
      <c r="L34" s="129">
        <f>L27</f>
        <v>0.24070530833559609</v>
      </c>
      <c r="M34" s="123"/>
      <c r="N34" s="25"/>
    </row>
    <row r="35" spans="1:14" ht="12.75">
      <c r="A35" s="49" t="s">
        <v>253</v>
      </c>
      <c r="B35" s="122">
        <f>$L$26*B18</f>
        <v>157115.6910245088</v>
      </c>
      <c r="C35" s="122">
        <f>$L$26*C18</f>
        <v>146654.03382357382</v>
      </c>
      <c r="D35" s="122">
        <f>$L$26*D18</f>
        <v>78517.35990191232</v>
      </c>
      <c r="E35" s="122">
        <f>$L$26*E18</f>
        <v>34465.758439852376</v>
      </c>
      <c r="F35" s="122">
        <f>$L$26*F18</f>
        <v>41572.78330353153</v>
      </c>
      <c r="G35" s="122">
        <f>SUM(B35:F35)</f>
        <v>458325.6264933789</v>
      </c>
      <c r="H35" s="122"/>
      <c r="I35" s="121">
        <f t="shared" si="6"/>
        <v>0.037237350117317554</v>
      </c>
      <c r="K35" s="91"/>
      <c r="L35" s="131">
        <f>SUM(L32:L34)</f>
        <v>1</v>
      </c>
      <c r="M35" s="132"/>
      <c r="N35" s="133"/>
    </row>
    <row r="36" spans="1:14" ht="12.75">
      <c r="A36" s="49"/>
      <c r="B36" s="47"/>
      <c r="C36" s="47"/>
      <c r="D36" s="47"/>
      <c r="E36" s="47"/>
      <c r="F36" s="47"/>
      <c r="G36" s="47"/>
      <c r="H36" s="47"/>
      <c r="I36" s="121"/>
      <c r="N36" s="134"/>
    </row>
    <row r="37" spans="1:14" ht="12.75">
      <c r="A37" s="43" t="s">
        <v>169</v>
      </c>
      <c r="B37" s="46">
        <f aca="true" t="shared" si="11" ref="B37:G37">SUM(B39:B43)</f>
        <v>753638.1122869521</v>
      </c>
      <c r="C37" s="46">
        <f t="shared" si="11"/>
        <v>912583.0997743316</v>
      </c>
      <c r="D37" s="46">
        <f t="shared" si="11"/>
        <v>722712.3678109423</v>
      </c>
      <c r="E37" s="46">
        <f t="shared" si="11"/>
        <v>310950.0627053159</v>
      </c>
      <c r="F37" s="46">
        <f t="shared" si="11"/>
        <v>230257.55122565955</v>
      </c>
      <c r="G37" s="46">
        <f t="shared" si="11"/>
        <v>2930141.1938032014</v>
      </c>
      <c r="H37" s="109"/>
      <c r="I37" s="121">
        <f t="shared" si="6"/>
        <v>0.23806369799049604</v>
      </c>
      <c r="N37" s="134"/>
    </row>
    <row r="38" spans="1:14" ht="12.75">
      <c r="A38" s="43" t="s">
        <v>289</v>
      </c>
      <c r="B38" s="45">
        <f aca="true" t="shared" si="12" ref="B38:G38">B39+B40+B41</f>
        <v>617844.8571428572</v>
      </c>
      <c r="C38" s="45">
        <f t="shared" si="12"/>
        <v>784973.4285714285</v>
      </c>
      <c r="D38" s="45">
        <f t="shared" si="12"/>
        <v>646420.2857142857</v>
      </c>
      <c r="E38" s="45">
        <f t="shared" si="12"/>
        <v>267953</v>
      </c>
      <c r="F38" s="45">
        <f t="shared" si="12"/>
        <v>182282</v>
      </c>
      <c r="G38" s="45">
        <f t="shared" si="12"/>
        <v>2499473.5714285714</v>
      </c>
      <c r="H38" s="122"/>
      <c r="I38" s="121">
        <f>G38/$G$11</f>
        <v>0.20307346373007668</v>
      </c>
      <c r="N38" s="134"/>
    </row>
    <row r="39" spans="1:14" ht="12.75">
      <c r="A39" s="49" t="s">
        <v>164</v>
      </c>
      <c r="B39" s="122">
        <v>335898</v>
      </c>
      <c r="C39" s="122">
        <v>401929</v>
      </c>
      <c r="D39" s="122">
        <v>456158</v>
      </c>
      <c r="E39" s="122">
        <v>216266</v>
      </c>
      <c r="F39" s="122">
        <v>148668</v>
      </c>
      <c r="G39" s="122">
        <f>SUM(B39:F39)</f>
        <v>1558919</v>
      </c>
      <c r="H39" s="109"/>
      <c r="I39" s="121">
        <f t="shared" si="6"/>
        <v>0.1266567026846734</v>
      </c>
      <c r="N39" s="130"/>
    </row>
    <row r="40" spans="1:14" ht="12.75">
      <c r="A40" s="49" t="s">
        <v>221</v>
      </c>
      <c r="B40" s="122">
        <v>268554</v>
      </c>
      <c r="C40" s="122">
        <v>310723</v>
      </c>
      <c r="D40" s="122">
        <v>142048</v>
      </c>
      <c r="E40" s="122">
        <v>51687</v>
      </c>
      <c r="F40" s="122">
        <v>33614</v>
      </c>
      <c r="G40" s="122">
        <f>SUM(B40:F40)</f>
        <v>806626</v>
      </c>
      <c r="H40" s="109"/>
      <c r="I40" s="121">
        <f t="shared" si="6"/>
        <v>0.06553553421295615</v>
      </c>
      <c r="N40" s="110"/>
    </row>
    <row r="41" spans="1:9" ht="12.75">
      <c r="A41" s="49" t="s">
        <v>165</v>
      </c>
      <c r="B41" s="122">
        <f>$M$20*B15</f>
        <v>13392.857142857143</v>
      </c>
      <c r="C41" s="122">
        <f>$M$20*C15</f>
        <v>72321.42857142857</v>
      </c>
      <c r="D41" s="122">
        <f>$M$20*D15</f>
        <v>48214.28571428571</v>
      </c>
      <c r="E41" s="122">
        <f>$M$20*E15</f>
        <v>0</v>
      </c>
      <c r="F41" s="122">
        <f>$M$20*F15</f>
        <v>0</v>
      </c>
      <c r="G41" s="122">
        <f>SUM(B41:F41)</f>
        <v>133928.57142857142</v>
      </c>
      <c r="H41" s="107"/>
      <c r="I41" s="121">
        <f t="shared" si="6"/>
        <v>0.01088122683244711</v>
      </c>
    </row>
    <row r="42" spans="1:9" ht="12.75">
      <c r="A42" s="49" t="s">
        <v>174</v>
      </c>
      <c r="B42" s="122">
        <f>$L$34*B16</f>
        <v>18270.399441781752</v>
      </c>
      <c r="C42" s="122">
        <f>$L$34*C16</f>
        <v>17912.156315472304</v>
      </c>
      <c r="D42" s="122">
        <f>$L$34*D16</f>
        <v>17560.937564188534</v>
      </c>
      <c r="E42" s="122">
        <f>$L$34*E16</f>
        <v>17216.6054550868</v>
      </c>
      <c r="F42" s="122">
        <f>$L$34*F16</f>
        <v>16879.024955967452</v>
      </c>
      <c r="G42" s="122">
        <f>SUM(B42:F42)</f>
        <v>87839.12373249685</v>
      </c>
      <c r="H42" s="48"/>
      <c r="I42" s="121">
        <f t="shared" si="6"/>
        <v>0.007136620811388593</v>
      </c>
    </row>
    <row r="43" spans="1:9" ht="12.75">
      <c r="A43" s="91" t="s">
        <v>253</v>
      </c>
      <c r="B43" s="135">
        <f>$L$27*B18</f>
        <v>117522.85570231314</v>
      </c>
      <c r="C43" s="135">
        <f>$L$27*C18</f>
        <v>109697.51488743072</v>
      </c>
      <c r="D43" s="135">
        <f>$L$27*D18</f>
        <v>58731.14453246812</v>
      </c>
      <c r="E43" s="135">
        <f>$L$27*E18</f>
        <v>25780.457250229098</v>
      </c>
      <c r="F43" s="135">
        <f>$L$27*F18</f>
        <v>31096.526269692127</v>
      </c>
      <c r="G43" s="135">
        <f>SUM(B43:F43)</f>
        <v>342828.4986421332</v>
      </c>
      <c r="H43" s="136"/>
      <c r="I43" s="127">
        <f t="shared" si="6"/>
        <v>0.027853613449030788</v>
      </c>
    </row>
    <row r="44" ht="12.75"/>
    <row r="45" ht="12.75"/>
    <row r="46" ht="12.75"/>
    <row r="47" spans="1:9" ht="12.75">
      <c r="A47" s="386" t="s">
        <v>266</v>
      </c>
      <c r="B47" s="387"/>
      <c r="C47" s="387"/>
      <c r="D47" s="387"/>
      <c r="E47" s="387"/>
      <c r="F47" s="387"/>
      <c r="G47" s="387"/>
      <c r="H47" s="387"/>
      <c r="I47" s="370"/>
    </row>
    <row r="48" spans="1:9" ht="12.75">
      <c r="A48" s="137"/>
      <c r="B48" s="138" t="s">
        <v>61</v>
      </c>
      <c r="C48" s="138" t="s">
        <v>62</v>
      </c>
      <c r="D48" s="138" t="s">
        <v>63</v>
      </c>
      <c r="E48" s="138" t="s">
        <v>144</v>
      </c>
      <c r="F48" s="138" t="s">
        <v>145</v>
      </c>
      <c r="G48" s="138"/>
      <c r="H48" s="138" t="s">
        <v>161</v>
      </c>
      <c r="I48" s="139" t="s">
        <v>172</v>
      </c>
    </row>
    <row r="49" spans="1:9" ht="12.75">
      <c r="A49" s="49"/>
      <c r="B49" s="47"/>
      <c r="C49" s="47"/>
      <c r="D49" s="47"/>
      <c r="E49" s="47"/>
      <c r="F49" s="47"/>
      <c r="G49" s="47"/>
      <c r="H49" s="47"/>
      <c r="I49" s="123"/>
    </row>
    <row r="50" spans="1:9" ht="12.75">
      <c r="A50" s="43" t="s">
        <v>166</v>
      </c>
      <c r="B50" s="10">
        <f>B51+B54+B52</f>
        <v>6090564.069469933</v>
      </c>
      <c r="C50" s="10">
        <f>C51+C54+C52</f>
        <v>5407184.880725979</v>
      </c>
      <c r="D50" s="10">
        <f>D51+D54+D52</f>
        <v>3918130.9552126965</v>
      </c>
      <c r="E50" s="10">
        <f>E51+E54+E52</f>
        <v>2027803.4677891047</v>
      </c>
      <c r="F50" s="10">
        <f>F51+F54+F52</f>
        <v>614398.8981634872</v>
      </c>
      <c r="G50" s="10"/>
      <c r="H50" s="10">
        <f>SUM(B50:F50)</f>
        <v>18058082.271361202</v>
      </c>
      <c r="I50" s="121"/>
    </row>
    <row r="51" spans="1:9" ht="12.75">
      <c r="A51" s="49" t="s">
        <v>174</v>
      </c>
      <c r="B51" s="48">
        <f>B16</f>
        <v>75903.6</v>
      </c>
      <c r="C51" s="48">
        <f>C16</f>
        <v>74415.29411764706</v>
      </c>
      <c r="D51" s="48">
        <f>D16</f>
        <v>72956.17070357555</v>
      </c>
      <c r="E51" s="48">
        <f>E16</f>
        <v>71525.65755252505</v>
      </c>
      <c r="F51" s="48">
        <f>F16</f>
        <v>70123.19367894613</v>
      </c>
      <c r="G51" s="48"/>
      <c r="H51" s="48">
        <f>SUM(B51:F51)</f>
        <v>364923.9160526938</v>
      </c>
      <c r="I51" s="140"/>
    </row>
    <row r="52" spans="1:9" ht="12.75">
      <c r="A52" s="49" t="s">
        <v>249</v>
      </c>
      <c r="B52" s="48">
        <v>421691.4694699342</v>
      </c>
      <c r="C52" s="48">
        <f>254918.978340499/(1+$M$6)</f>
        <v>249920.5670004892</v>
      </c>
      <c r="D52" s="48">
        <f>213822.280199303/(1+$M$6)</f>
        <v>209629.6864699049</v>
      </c>
      <c r="E52" s="48">
        <f>55593.3664413109/(1+$M$6)</f>
        <v>54503.30043265774</v>
      </c>
      <c r="F52" s="48">
        <f>26752.2185742319/(1+$M$6)</f>
        <v>26227.665268854806</v>
      </c>
      <c r="G52" s="48"/>
      <c r="H52" s="48">
        <f>SUM(B52:F52)</f>
        <v>961972.6886418408</v>
      </c>
      <c r="I52" s="121"/>
    </row>
    <row r="53" spans="1:9" ht="12.75">
      <c r="A53" s="43"/>
      <c r="B53" s="10"/>
      <c r="C53" s="10"/>
      <c r="D53" s="10"/>
      <c r="E53" s="10"/>
      <c r="F53" s="10"/>
      <c r="G53" s="10"/>
      <c r="H53" s="10"/>
      <c r="I53" s="121"/>
    </row>
    <row r="54" spans="1:9" ht="12.75">
      <c r="A54" s="43" t="s">
        <v>173</v>
      </c>
      <c r="B54" s="10">
        <f>SUM(B55:B57)</f>
        <v>5592969</v>
      </c>
      <c r="C54" s="10">
        <f>SUM(C55:C57)</f>
        <v>5082849.019607843</v>
      </c>
      <c r="D54" s="10">
        <f>SUM(D55:D57)</f>
        <v>3635545.098039216</v>
      </c>
      <c r="E54" s="10">
        <f>SUM(E55:E57)</f>
        <v>1901774.5098039217</v>
      </c>
      <c r="F54" s="10">
        <f>SUM(F55:F57)</f>
        <v>518048.03921568627</v>
      </c>
      <c r="G54" s="10"/>
      <c r="H54" s="10">
        <f>SUM(B54:F54)</f>
        <v>16731185.666666664</v>
      </c>
      <c r="I54" s="121"/>
    </row>
    <row r="55" spans="1:9" ht="12.75">
      <c r="A55" s="49" t="s">
        <v>164</v>
      </c>
      <c r="B55" s="48">
        <f>(1842644-1000000/5)*K6</f>
        <v>1642644</v>
      </c>
      <c r="C55" s="48">
        <f>(2954626-1000000/5)/(1+$M$6)*K6</f>
        <v>2700613.725490196</v>
      </c>
      <c r="D55" s="48">
        <f>(3048786-1000000/5)/(1+$M$6)*K6</f>
        <v>2792927.4509803923</v>
      </c>
      <c r="E55" s="48">
        <f>(1955834-1000000/5)/(1+$M$6)*K6</f>
        <v>1721405.8823529412</v>
      </c>
      <c r="F55" s="48">
        <f>(679168-1000000/5)/(1+$M$6)*K6</f>
        <v>469772.54901960783</v>
      </c>
      <c r="G55" s="48"/>
      <c r="H55" s="48">
        <f>SUM(B55:F55)</f>
        <v>9327363.607843138</v>
      </c>
      <c r="I55" s="121"/>
    </row>
    <row r="56" spans="1:9" ht="12.75">
      <c r="A56" s="49" t="s">
        <v>221</v>
      </c>
      <c r="B56" s="48">
        <f>3900325*K6</f>
        <v>3900325</v>
      </c>
      <c r="C56" s="48">
        <f>2029880/(1+$M$6)*K6</f>
        <v>1990078.431372549</v>
      </c>
      <c r="D56" s="48">
        <f>609470/(1+$M$6)*K6</f>
        <v>597519.6078431372</v>
      </c>
      <c r="E56" s="48">
        <f>183976/(1+$M$6)*K6</f>
        <v>180368.6274509804</v>
      </c>
      <c r="F56" s="48">
        <f>49241/(1+$M$6)*K6</f>
        <v>48275.490196078434</v>
      </c>
      <c r="G56" s="48"/>
      <c r="H56" s="48">
        <f>SUM(B56:F56)</f>
        <v>6716567.156862745</v>
      </c>
      <c r="I56" s="121"/>
    </row>
    <row r="57" spans="1:9" ht="12.75">
      <c r="A57" s="49" t="s">
        <v>165</v>
      </c>
      <c r="B57" s="48">
        <f>50000*K6</f>
        <v>50000</v>
      </c>
      <c r="C57" s="48">
        <f>400000/(1+$M$6)*K6</f>
        <v>392156.862745098</v>
      </c>
      <c r="D57" s="48">
        <f>250000/(1+$M$6)*K6</f>
        <v>245098.03921568627</v>
      </c>
      <c r="E57" s="48">
        <f>0/(1+$M$6)*K6</f>
        <v>0</v>
      </c>
      <c r="F57" s="48">
        <f>0/(1+$M$6)*K6</f>
        <v>0</v>
      </c>
      <c r="G57" s="48"/>
      <c r="H57" s="48">
        <f>SUM(B57:F57)</f>
        <v>687254.9019607843</v>
      </c>
      <c r="I57" s="121"/>
    </row>
    <row r="58" spans="1:9" ht="12.75">
      <c r="A58" s="49"/>
      <c r="B58" s="48"/>
      <c r="C58" s="48"/>
      <c r="D58" s="48"/>
      <c r="E58" s="48"/>
      <c r="F58" s="48"/>
      <c r="G58" s="48"/>
      <c r="H58" s="48"/>
      <c r="I58" s="121"/>
    </row>
    <row r="59" spans="1:9" ht="12.75">
      <c r="A59" s="49"/>
      <c r="B59" s="47"/>
      <c r="C59" s="47"/>
      <c r="D59" s="47"/>
      <c r="E59" s="47"/>
      <c r="F59" s="47"/>
      <c r="G59" s="47"/>
      <c r="H59" s="47"/>
      <c r="I59" s="123"/>
    </row>
    <row r="60" spans="1:9" ht="38.25">
      <c r="A60" s="43" t="s">
        <v>167</v>
      </c>
      <c r="B60" s="47"/>
      <c r="C60" s="47"/>
      <c r="D60" s="47"/>
      <c r="E60" s="47"/>
      <c r="F60" s="47"/>
      <c r="G60" s="47"/>
      <c r="H60" s="47"/>
      <c r="I60" s="141" t="s">
        <v>222</v>
      </c>
    </row>
    <row r="61" spans="1:9" ht="12.75">
      <c r="A61" s="49" t="s">
        <v>168</v>
      </c>
      <c r="B61" s="107">
        <f>$B$50*I61</f>
        <v>1948980.5022303788</v>
      </c>
      <c r="C61" s="107">
        <f>$C$50*I61</f>
        <v>1730299.1618323133</v>
      </c>
      <c r="D61" s="107">
        <f>$D$50*I61</f>
        <v>1253801.9056680629</v>
      </c>
      <c r="E61" s="107">
        <f>$E$50*I61</f>
        <v>648897.1096925135</v>
      </c>
      <c r="F61" s="107">
        <f>$F$50*I61</f>
        <v>196607.6474123159</v>
      </c>
      <c r="G61" s="107"/>
      <c r="H61" s="107">
        <f>SUM(B61:F61)</f>
        <v>5778586.326835585</v>
      </c>
      <c r="I61" s="121">
        <v>0.32</v>
      </c>
    </row>
    <row r="62" spans="1:9" ht="12.75">
      <c r="A62" s="125" t="s">
        <v>247</v>
      </c>
      <c r="B62" s="48">
        <f>361446/2</f>
        <v>180723</v>
      </c>
      <c r="C62" s="107"/>
      <c r="D62" s="107"/>
      <c r="E62" s="107"/>
      <c r="F62" s="107"/>
      <c r="G62" s="107"/>
      <c r="H62" s="107"/>
      <c r="I62" s="121"/>
    </row>
    <row r="63" spans="1:9" ht="12.75">
      <c r="A63" s="49" t="s">
        <v>170</v>
      </c>
      <c r="B63" s="107">
        <f>$B$50*I63</f>
        <v>1279018.4545886859</v>
      </c>
      <c r="C63" s="107">
        <f>$C$50*I63</f>
        <v>1135508.8249524555</v>
      </c>
      <c r="D63" s="107">
        <f>$D$50*I63</f>
        <v>822807.5005946662</v>
      </c>
      <c r="E63" s="107">
        <f>$E$50*I63</f>
        <v>425838.728235712</v>
      </c>
      <c r="F63" s="107">
        <f>$F$50*I63</f>
        <v>129023.76861433231</v>
      </c>
      <c r="G63" s="107"/>
      <c r="H63" s="107">
        <f>SUM(B63:F63)</f>
        <v>3792197.2769858516</v>
      </c>
      <c r="I63" s="121">
        <v>0.21</v>
      </c>
    </row>
    <row r="64" spans="1:9" ht="12.75">
      <c r="A64" s="125" t="s">
        <v>247</v>
      </c>
      <c r="B64" s="48">
        <f>361446/2</f>
        <v>180723</v>
      </c>
      <c r="C64" s="107"/>
      <c r="D64" s="107"/>
      <c r="E64" s="107"/>
      <c r="F64" s="107"/>
      <c r="G64" s="107"/>
      <c r="H64" s="107"/>
      <c r="I64" s="121"/>
    </row>
    <row r="65" spans="1:9" ht="12.75">
      <c r="A65" s="49" t="s">
        <v>171</v>
      </c>
      <c r="B65" s="107">
        <f>$B$50*I65</f>
        <v>1279018.4545886859</v>
      </c>
      <c r="C65" s="107">
        <f>$C$50*I65</f>
        <v>1135508.8249524555</v>
      </c>
      <c r="D65" s="107">
        <f>$D$50*I65</f>
        <v>822807.5005946662</v>
      </c>
      <c r="E65" s="107">
        <f>$E$50*I65</f>
        <v>425838.728235712</v>
      </c>
      <c r="F65" s="107">
        <f>$F$50*I65</f>
        <v>129023.76861433231</v>
      </c>
      <c r="G65" s="107"/>
      <c r="H65" s="107">
        <f>SUM(B65:F65)</f>
        <v>3792197.2769858516</v>
      </c>
      <c r="I65" s="121">
        <v>0.21</v>
      </c>
    </row>
    <row r="66" spans="1:9" ht="13.5" thickBot="1">
      <c r="A66" s="142" t="s">
        <v>169</v>
      </c>
      <c r="B66" s="143">
        <f>$B$50*I66</f>
        <v>1583546.6580621828</v>
      </c>
      <c r="C66" s="143">
        <f>$C$50*I66</f>
        <v>1405868.0689887546</v>
      </c>
      <c r="D66" s="143">
        <f>$D$50*I66</f>
        <v>1018714.0483553011</v>
      </c>
      <c r="E66" s="143">
        <f>$E$50*I66</f>
        <v>527228.9016251672</v>
      </c>
      <c r="F66" s="143">
        <f>$F$50*I66</f>
        <v>159743.71352250667</v>
      </c>
      <c r="G66" s="143"/>
      <c r="H66" s="143">
        <f>SUM(B66:F66)</f>
        <v>4695101.390553913</v>
      </c>
      <c r="I66" s="144">
        <v>0.26</v>
      </c>
    </row>
    <row r="67" spans="1:9" ht="13.5" thickTop="1">
      <c r="A67" s="145"/>
      <c r="B67" s="146"/>
      <c r="C67" s="146"/>
      <c r="D67" s="146"/>
      <c r="E67" s="146"/>
      <c r="F67" s="146"/>
      <c r="G67" s="146"/>
      <c r="H67" s="146"/>
      <c r="I67" s="147">
        <f>SUM(I61:I66)</f>
        <v>1</v>
      </c>
    </row>
  </sheetData>
  <mergeCells count="4">
    <mergeCell ref="A47:I47"/>
    <mergeCell ref="A9:I9"/>
    <mergeCell ref="K16:M16"/>
    <mergeCell ref="A2:F2"/>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5" footer="0.5"/>
  <pageSetup fitToHeight="2" horizontalDpi="600" verticalDpi="600" orientation="landscape" scale="66" r:id="rId4"/>
  <headerFooter alignWithMargins="0">
    <oddFooter>&amp;L&amp;G&amp;R&amp;P / &amp;N</oddFooter>
  </headerFooter>
  <rowBreaks count="1" manualBreakCount="1">
    <brk id="45" max="255" man="1"/>
  </rowBreaks>
  <ignoredErrors>
    <ignoredError sqref="G16 B62 B64" formula="1"/>
  </ignoredErrors>
  <legacyDrawing r:id="rId2"/>
  <legacyDrawingHF r:id="rId3"/>
</worksheet>
</file>

<file path=xl/worksheets/sheet7.xml><?xml version="1.0" encoding="utf-8"?>
<worksheet xmlns="http://schemas.openxmlformats.org/spreadsheetml/2006/main" xmlns:r="http://schemas.openxmlformats.org/officeDocument/2006/relationships">
  <sheetPr codeName="Sheet5"/>
  <dimension ref="A1:I26"/>
  <sheetViews>
    <sheetView workbookViewId="0" topLeftCell="A1">
      <selection activeCell="G2" sqref="G2"/>
    </sheetView>
  </sheetViews>
  <sheetFormatPr defaultColWidth="9.140625" defaultRowHeight="12.75"/>
  <cols>
    <col min="1" max="1" width="16.7109375" style="2" bestFit="1" customWidth="1"/>
    <col min="2" max="6" width="10.28125" style="3" bestFit="1" customWidth="1"/>
    <col min="7" max="9" width="11.140625" style="3" bestFit="1" customWidth="1"/>
    <col min="10" max="16384" width="9.140625" style="3" customWidth="1"/>
  </cols>
  <sheetData>
    <row r="1" ht="20.25">
      <c r="A1" s="86" t="s">
        <v>318</v>
      </c>
    </row>
    <row r="2" spans="1:6" ht="12.75">
      <c r="A2" s="371">
        <f>IF('ERR &amp; Sensitivity Analysis'!$I$10="N","Note: Current calculations are based on user input and are not the original MCC estimates.",IF('ERR &amp; Sensitivity Analysis'!$I$11="N","Note: Current calculations are based on user input and are not the original MCC estimates.",0))</f>
        <v>0</v>
      </c>
      <c r="B2" s="371"/>
      <c r="C2" s="371"/>
      <c r="D2" s="371"/>
      <c r="E2" s="371"/>
      <c r="F2" s="371"/>
    </row>
    <row r="3" ht="18">
      <c r="A3" s="88" t="s">
        <v>323</v>
      </c>
    </row>
    <row r="5" spans="1:7" s="2" customFormat="1" ht="12.75">
      <c r="A5" s="35"/>
      <c r="B5" s="39" t="s">
        <v>61</v>
      </c>
      <c r="C5" s="39" t="s">
        <v>62</v>
      </c>
      <c r="D5" s="39" t="s">
        <v>63</v>
      </c>
      <c r="E5" s="39" t="s">
        <v>144</v>
      </c>
      <c r="F5" s="39" t="s">
        <v>145</v>
      </c>
      <c r="G5" s="40" t="s">
        <v>232</v>
      </c>
    </row>
    <row r="6" spans="1:7" ht="12.75">
      <c r="A6" s="35" t="s">
        <v>273</v>
      </c>
      <c r="B6" s="148">
        <v>939036</v>
      </c>
      <c r="C6" s="148">
        <v>375000</v>
      </c>
      <c r="D6" s="148">
        <v>1575000</v>
      </c>
      <c r="E6" s="148">
        <v>425000</v>
      </c>
      <c r="F6" s="148">
        <v>1575000</v>
      </c>
      <c r="G6" s="149">
        <f>SUM(B6:F6)</f>
        <v>4889036</v>
      </c>
    </row>
    <row r="7" spans="1:7" ht="13.5" thickBot="1">
      <c r="A7" s="36" t="s">
        <v>274</v>
      </c>
      <c r="B7" s="150">
        <v>1858389</v>
      </c>
      <c r="C7" s="150">
        <v>2228118</v>
      </c>
      <c r="D7" s="150">
        <v>1433766</v>
      </c>
      <c r="E7" s="150">
        <v>1472971</v>
      </c>
      <c r="F7" s="150">
        <v>1387370</v>
      </c>
      <c r="G7" s="151">
        <f>SUM(B7:F7)</f>
        <v>8380614</v>
      </c>
    </row>
    <row r="8" spans="1:7" ht="13.5" thickTop="1">
      <c r="A8" s="37" t="s">
        <v>275</v>
      </c>
      <c r="B8" s="152">
        <f aca="true" t="shared" si="0" ref="B8:G8">B6+B7</f>
        <v>2797425</v>
      </c>
      <c r="C8" s="152">
        <f t="shared" si="0"/>
        <v>2603118</v>
      </c>
      <c r="D8" s="152">
        <f t="shared" si="0"/>
        <v>3008766</v>
      </c>
      <c r="E8" s="152">
        <f t="shared" si="0"/>
        <v>1897971</v>
      </c>
      <c r="F8" s="152">
        <f t="shared" si="0"/>
        <v>2962370</v>
      </c>
      <c r="G8" s="153">
        <f t="shared" si="0"/>
        <v>13269650</v>
      </c>
    </row>
    <row r="9" spans="1:7" ht="12.75">
      <c r="A9" s="37"/>
      <c r="B9" s="110"/>
      <c r="C9" s="110"/>
      <c r="D9" s="110"/>
      <c r="E9" s="110"/>
      <c r="F9" s="110"/>
      <c r="G9" s="153"/>
    </row>
    <row r="10" spans="1:7" ht="12.75">
      <c r="A10" s="37" t="s">
        <v>276</v>
      </c>
      <c r="B10" s="152">
        <v>2889715</v>
      </c>
      <c r="C10" s="152">
        <v>3809089</v>
      </c>
      <c r="D10" s="152">
        <v>2675576</v>
      </c>
      <c r="E10" s="152">
        <v>1121528</v>
      </c>
      <c r="F10" s="152">
        <v>402722</v>
      </c>
      <c r="G10" s="153">
        <f>SUM(B10:F10)</f>
        <v>10898630</v>
      </c>
    </row>
    <row r="11" spans="1:7" ht="12.75">
      <c r="A11" s="37"/>
      <c r="B11" s="154">
        <f>B10/$B$22</f>
        <v>0.17453326621092283</v>
      </c>
      <c r="C11" s="154">
        <f>C10/C22</f>
        <v>0.17857367550794329</v>
      </c>
      <c r="D11" s="154">
        <f>D10/$D$22</f>
        <v>0.08437129733101639</v>
      </c>
      <c r="E11" s="154">
        <f>E10/$E$22</f>
        <v>0.05988470173357478</v>
      </c>
      <c r="F11" s="154">
        <f>F10/$F$22</f>
        <v>0.047204955839345475</v>
      </c>
      <c r="G11" s="155"/>
    </row>
    <row r="12" spans="1:7" ht="12.75">
      <c r="A12" s="37" t="s">
        <v>244</v>
      </c>
      <c r="B12" s="152">
        <v>3730000</v>
      </c>
      <c r="C12" s="152">
        <v>6630000</v>
      </c>
      <c r="D12" s="152">
        <v>6980000</v>
      </c>
      <c r="E12" s="152">
        <v>1370000</v>
      </c>
      <c r="F12" s="152">
        <v>0</v>
      </c>
      <c r="G12" s="153">
        <f>SUM(B12:F12)</f>
        <v>18710000</v>
      </c>
    </row>
    <row r="13" spans="1:7" ht="12.75">
      <c r="A13" s="37"/>
      <c r="B13" s="154">
        <f>B12/$B$22</f>
        <v>0.2252848751405388</v>
      </c>
      <c r="C13" s="154">
        <f>C12/C22</f>
        <v>0.3108206368025698</v>
      </c>
      <c r="D13" s="154">
        <f>D12/$D$22</f>
        <v>0.22010649496425982</v>
      </c>
      <c r="E13" s="154">
        <f>E12/$E$22</f>
        <v>0.07315202239712022</v>
      </c>
      <c r="F13" s="156">
        <f>F12/$F$22</f>
        <v>0</v>
      </c>
      <c r="G13" s="155"/>
    </row>
    <row r="14" spans="1:9" ht="12.75">
      <c r="A14" s="37" t="s">
        <v>277</v>
      </c>
      <c r="B14" s="157">
        <f>700000+570000</f>
        <v>1270000</v>
      </c>
      <c r="C14" s="157">
        <f>1040000+850000</f>
        <v>1890000</v>
      </c>
      <c r="D14" s="157">
        <f>1390000+1130000</f>
        <v>2520000</v>
      </c>
      <c r="E14" s="157">
        <f>280000+350000</f>
        <v>630000</v>
      </c>
      <c r="F14" s="152">
        <v>0</v>
      </c>
      <c r="G14" s="153">
        <f>SUM(B14:F14)</f>
        <v>6310000</v>
      </c>
      <c r="I14" s="158"/>
    </row>
    <row r="15" spans="1:7" ht="12.75">
      <c r="A15" s="37"/>
      <c r="B15" s="154">
        <f>B14/$B$22</f>
        <v>0.07670557410951322</v>
      </c>
      <c r="C15" s="154">
        <f>C14/C22</f>
        <v>0.08860497791204479</v>
      </c>
      <c r="D15" s="154">
        <f>D14/$D$22</f>
        <v>0.0794653821360938</v>
      </c>
      <c r="E15" s="154">
        <f>E14/$E$22</f>
        <v>0.03363925117531806</v>
      </c>
      <c r="F15" s="154">
        <f>F14/$F$22</f>
        <v>0</v>
      </c>
      <c r="G15" s="155"/>
    </row>
    <row r="16" spans="1:7" ht="12.75">
      <c r="A16" s="37" t="s">
        <v>243</v>
      </c>
      <c r="B16" s="152">
        <v>7067100</v>
      </c>
      <c r="C16" s="152">
        <v>7201541</v>
      </c>
      <c r="D16" s="152">
        <v>17936346</v>
      </c>
      <c r="E16" s="152">
        <v>14406594</v>
      </c>
      <c r="F16" s="152">
        <v>7128628</v>
      </c>
      <c r="G16" s="153">
        <f>SUM(B16:F16)</f>
        <v>53740209</v>
      </c>
    </row>
    <row r="17" spans="1:7" ht="12.75">
      <c r="A17" s="37"/>
      <c r="B17" s="154">
        <f>B16/$B$22</f>
        <v>0.42683934077900854</v>
      </c>
      <c r="C17" s="154">
        <f>C16/C22</f>
        <v>0.3376150165278756</v>
      </c>
      <c r="D17" s="154">
        <f>D16/$D$22</f>
        <v>0.5656026146885704</v>
      </c>
      <c r="E17" s="154">
        <f>E16/$E$22</f>
        <v>0.769249260550524</v>
      </c>
      <c r="F17" s="154">
        <f>F16/$F$22</f>
        <v>0.8355803008902459</v>
      </c>
      <c r="G17" s="155"/>
    </row>
    <row r="18" spans="1:7" ht="12.75">
      <c r="A18" s="37" t="s">
        <v>278</v>
      </c>
      <c r="B18" s="157">
        <v>1000000</v>
      </c>
      <c r="C18" s="157">
        <v>1000000</v>
      </c>
      <c r="D18" s="157">
        <v>1000000</v>
      </c>
      <c r="E18" s="157">
        <v>1000000</v>
      </c>
      <c r="F18" s="157">
        <v>1000000</v>
      </c>
      <c r="G18" s="153">
        <f>SUM(B18:F18)</f>
        <v>5000000</v>
      </c>
    </row>
    <row r="19" spans="1:7" ht="12.75">
      <c r="A19" s="37"/>
      <c r="B19" s="154">
        <f>B18/$B$22</f>
        <v>0.060398089850010404</v>
      </c>
      <c r="C19" s="154">
        <f>C18/C22</f>
        <v>0.04688094069420359</v>
      </c>
      <c r="D19" s="154">
        <f>D18/$D$22</f>
        <v>0.031533881800037224</v>
      </c>
      <c r="E19" s="154">
        <f>E18/$E$22</f>
        <v>0.05339563678621914</v>
      </c>
      <c r="F19" s="154">
        <f>F18/$F$22</f>
        <v>0.11721474327040855</v>
      </c>
      <c r="G19" s="155"/>
    </row>
    <row r="20" spans="1:7" ht="12.75">
      <c r="A20" s="37" t="s">
        <v>279</v>
      </c>
      <c r="B20" s="152">
        <v>600000</v>
      </c>
      <c r="C20" s="152">
        <v>800000</v>
      </c>
      <c r="D20" s="152">
        <v>600000</v>
      </c>
      <c r="E20" s="152">
        <v>200000</v>
      </c>
      <c r="F20" s="152">
        <v>0</v>
      </c>
      <c r="G20" s="153">
        <f>SUM(B20:F20)</f>
        <v>2200000</v>
      </c>
    </row>
    <row r="21" spans="1:7" ht="12.75">
      <c r="A21" s="37"/>
      <c r="B21" s="154">
        <f>B20/$B$22</f>
        <v>0.036238853910006245</v>
      </c>
      <c r="C21" s="154">
        <f>C20/C22</f>
        <v>0.037504752555362876</v>
      </c>
      <c r="D21" s="154">
        <f>D20/$D$22</f>
        <v>0.018920329080022332</v>
      </c>
      <c r="E21" s="154">
        <f>E20/$E$22</f>
        <v>0.010679127357243828</v>
      </c>
      <c r="F21" s="154">
        <f>F20/$F$22</f>
        <v>0</v>
      </c>
      <c r="G21" s="155"/>
    </row>
    <row r="22" spans="1:7" ht="12.75">
      <c r="A22" s="37" t="s">
        <v>280</v>
      </c>
      <c r="B22" s="152">
        <f>B10+B12+B16+B20+B14+B18</f>
        <v>16556815</v>
      </c>
      <c r="C22" s="152">
        <f>C10+C12+C16+C20+C14+C18</f>
        <v>21330630</v>
      </c>
      <c r="D22" s="152">
        <f>D10+D12+D16+D20+D14+D18</f>
        <v>31711922</v>
      </c>
      <c r="E22" s="152">
        <f>E10+E12+E16+E20+E14+E18</f>
        <v>18728122</v>
      </c>
      <c r="F22" s="152">
        <f>F10+F12+F16+F20+F14+F18</f>
        <v>8531350</v>
      </c>
      <c r="G22" s="153">
        <f>SUM(G10:G20)</f>
        <v>96858839</v>
      </c>
    </row>
    <row r="23" spans="1:7" ht="12.75">
      <c r="A23" s="37"/>
      <c r="B23" s="159">
        <f>B11+B13+B15+B17+B19+B21</f>
        <v>1</v>
      </c>
      <c r="C23" s="159">
        <f>C11+C13+C15+C17+C19+C21</f>
        <v>1</v>
      </c>
      <c r="D23" s="159">
        <f>D11+D13+D15+D17+D19+D21</f>
        <v>1</v>
      </c>
      <c r="E23" s="159">
        <f>E11+E13+E15+E17+E19+E21</f>
        <v>1</v>
      </c>
      <c r="F23" s="159">
        <f>F11+F13+F15+F17+F19+F21</f>
        <v>1</v>
      </c>
      <c r="G23" s="155"/>
    </row>
    <row r="24" spans="1:7" ht="13.5" thickBot="1">
      <c r="A24" s="36"/>
      <c r="B24" s="160"/>
      <c r="C24" s="160"/>
      <c r="D24" s="160"/>
      <c r="E24" s="160"/>
      <c r="F24" s="160"/>
      <c r="G24" s="161"/>
    </row>
    <row r="25" spans="1:9" ht="13.5" thickTop="1">
      <c r="A25" s="38"/>
      <c r="B25" s="146"/>
      <c r="C25" s="146"/>
      <c r="D25" s="146"/>
      <c r="E25" s="146"/>
      <c r="F25" s="146"/>
      <c r="G25" s="162">
        <f>G22+G8</f>
        <v>110128489</v>
      </c>
      <c r="H25" s="158"/>
      <c r="I25" s="158"/>
    </row>
    <row r="26" ht="12.75">
      <c r="I26" s="158"/>
    </row>
  </sheetData>
  <mergeCells count="1">
    <mergeCell ref="A2:F2"/>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2"/>
  <headerFooter alignWithMargins="0">
    <oddFooter>&amp;L&amp;G&amp;R&amp;P / &amp;N</oddFooter>
  </headerFooter>
  <ignoredErrors>
    <ignoredError sqref="D14:E14 B14" formula="1"/>
  </ignoredErrors>
  <legacyDrawingHF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G59"/>
  <sheetViews>
    <sheetView workbookViewId="0" topLeftCell="A1">
      <selection activeCell="G2" sqref="G2"/>
    </sheetView>
  </sheetViews>
  <sheetFormatPr defaultColWidth="9.140625" defaultRowHeight="12.75"/>
  <cols>
    <col min="1" max="1" width="82.140625" style="3" customWidth="1"/>
    <col min="2" max="2" width="14.140625" style="3" bestFit="1" customWidth="1"/>
    <col min="3" max="3" width="12.140625" style="3" bestFit="1" customWidth="1"/>
    <col min="4" max="4" width="12.00390625" style="3" bestFit="1" customWidth="1"/>
    <col min="5" max="5" width="8.28125" style="3" customWidth="1"/>
    <col min="6" max="16384" width="9.140625" style="3" customWidth="1"/>
  </cols>
  <sheetData>
    <row r="1" ht="20.25">
      <c r="A1" s="86" t="s">
        <v>318</v>
      </c>
    </row>
    <row r="2" spans="1:6" ht="12.75">
      <c r="A2" s="371">
        <f>IF('ERR &amp; Sensitivity Analysis'!$I$10="N","Note: Current calculations are based on user input and are not the original MCC estimates.",IF('ERR &amp; Sensitivity Analysis'!$I$11="N","Note: Current calculations are based on user input and are not the original MCC estimates.",0))</f>
        <v>0</v>
      </c>
      <c r="B2" s="371"/>
      <c r="C2" s="371"/>
      <c r="D2" s="371"/>
      <c r="E2" s="371"/>
      <c r="F2" s="371"/>
    </row>
    <row r="3" ht="18">
      <c r="A3" s="88" t="s">
        <v>324</v>
      </c>
    </row>
    <row r="4" ht="12.75">
      <c r="A4" s="2"/>
    </row>
    <row r="5" ht="12.75">
      <c r="A5" s="163" t="s">
        <v>223</v>
      </c>
    </row>
    <row r="6" ht="12.75">
      <c r="A6" s="163" t="s">
        <v>234</v>
      </c>
    </row>
    <row r="7" ht="12.75">
      <c r="A7" s="163"/>
    </row>
    <row r="8" spans="1:2" ht="12.75">
      <c r="A8" s="30" t="s">
        <v>235</v>
      </c>
      <c r="B8" s="34" t="s">
        <v>236</v>
      </c>
    </row>
    <row r="9" spans="1:2" ht="12.75">
      <c r="A9" s="164" t="s">
        <v>57</v>
      </c>
      <c r="B9" s="165">
        <f>'Value-Added'!P12</f>
        <v>114.60240963855422</v>
      </c>
    </row>
    <row r="10" spans="1:2" ht="12.75">
      <c r="A10" s="164" t="s">
        <v>48</v>
      </c>
      <c r="B10" s="165">
        <f>'Value-Added'!P13</f>
        <v>1403.6144578313254</v>
      </c>
    </row>
    <row r="11" spans="1:2" ht="12.75">
      <c r="A11" s="166"/>
      <c r="B11" s="165"/>
    </row>
    <row r="12" spans="1:2" ht="12.75">
      <c r="A12" s="164" t="s">
        <v>15</v>
      </c>
      <c r="B12" s="165"/>
    </row>
    <row r="13" spans="1:2" ht="12.75">
      <c r="A13" s="164" t="s">
        <v>302</v>
      </c>
      <c r="B13" s="165">
        <f>'Value-Added'!P16</f>
        <v>3982.0080321285136</v>
      </c>
    </row>
    <row r="14" spans="1:2" ht="12.75">
      <c r="A14" s="164" t="s">
        <v>301</v>
      </c>
      <c r="B14" s="165">
        <f>'Value-Added'!P17</f>
        <v>1379.5983935742968</v>
      </c>
    </row>
    <row r="15" spans="1:2" ht="12.75">
      <c r="A15" s="164" t="s">
        <v>303</v>
      </c>
      <c r="B15" s="165">
        <f>'Value-Added'!P18</f>
        <v>16795.488612571393</v>
      </c>
    </row>
    <row r="16" spans="1:2" ht="12.75">
      <c r="A16" s="164" t="s">
        <v>251</v>
      </c>
      <c r="B16" s="165">
        <f>'Value-Added'!P19</f>
        <v>15214.163311366576</v>
      </c>
    </row>
    <row r="17" spans="1:2" ht="12.75">
      <c r="A17" s="164" t="s">
        <v>301</v>
      </c>
      <c r="B17" s="165">
        <f>'Value-Added'!P20</f>
        <v>15575.609094499105</v>
      </c>
    </row>
    <row r="18" spans="1:4" ht="12.75">
      <c r="A18" s="167"/>
      <c r="B18" s="165"/>
      <c r="D18" s="168"/>
    </row>
    <row r="19" spans="1:2" ht="12.75">
      <c r="A19" s="164" t="s">
        <v>38</v>
      </c>
      <c r="B19" s="165"/>
    </row>
    <row r="20" spans="1:2" ht="12.75">
      <c r="A20" s="164" t="s">
        <v>0</v>
      </c>
      <c r="B20" s="165">
        <f>'Value-Added'!P23</f>
        <v>4285.240963855422</v>
      </c>
    </row>
    <row r="21" spans="1:2" ht="12.75">
      <c r="A21" s="164" t="s">
        <v>303</v>
      </c>
      <c r="B21" s="165">
        <f>'Value-Added'!P24</f>
        <v>14610.54885353525</v>
      </c>
    </row>
    <row r="22" spans="1:2" ht="12.75">
      <c r="A22" s="164" t="s">
        <v>251</v>
      </c>
      <c r="B22" s="165">
        <f>'Value-Added'!P25</f>
        <v>9993.078974017179</v>
      </c>
    </row>
    <row r="23" spans="1:2" ht="12.75">
      <c r="A23" s="169" t="s">
        <v>301</v>
      </c>
      <c r="B23" s="170">
        <f>'Value-Added'!P26</f>
        <v>11048.500660764166</v>
      </c>
    </row>
    <row r="24" spans="1:2" ht="12.75">
      <c r="A24" s="163"/>
      <c r="B24" s="93"/>
    </row>
    <row r="25" spans="1:3" ht="12.75">
      <c r="A25" s="33" t="s">
        <v>135</v>
      </c>
      <c r="B25" s="103"/>
      <c r="C25" s="110"/>
    </row>
    <row r="26" spans="1:3" ht="12.75">
      <c r="A26" s="49"/>
      <c r="B26" s="171"/>
      <c r="C26" s="110"/>
    </row>
    <row r="27" spans="1:3" ht="12.75">
      <c r="A27" s="167" t="s">
        <v>305</v>
      </c>
      <c r="B27" s="123"/>
      <c r="C27" s="110"/>
    </row>
    <row r="28" spans="1:3" ht="12.75">
      <c r="A28" s="167" t="s">
        <v>304</v>
      </c>
      <c r="B28" s="165">
        <f>B15-B9</f>
        <v>16680.886202932837</v>
      </c>
      <c r="C28" s="110"/>
    </row>
    <row r="29" spans="1:3" ht="12.75">
      <c r="A29" s="167" t="s">
        <v>251</v>
      </c>
      <c r="B29" s="165">
        <f>B16-B9</f>
        <v>15099.560901728022</v>
      </c>
      <c r="C29" s="110"/>
    </row>
    <row r="30" spans="1:3" ht="12.75">
      <c r="A30" s="167" t="s">
        <v>301</v>
      </c>
      <c r="B30" s="165">
        <f>B17-B9</f>
        <v>15461.006684860551</v>
      </c>
      <c r="C30" s="110"/>
    </row>
    <row r="31" spans="1:3" s="93" customFormat="1" ht="12.75">
      <c r="A31" s="167"/>
      <c r="B31" s="165"/>
      <c r="C31" s="47"/>
    </row>
    <row r="32" spans="1:3" ht="12.75">
      <c r="A32" s="167" t="s">
        <v>306</v>
      </c>
      <c r="B32" s="123"/>
      <c r="C32" s="110"/>
    </row>
    <row r="33" spans="1:3" ht="12.75">
      <c r="A33" s="167" t="s">
        <v>304</v>
      </c>
      <c r="B33" s="165">
        <f>B15-B13</f>
        <v>12813.48058044288</v>
      </c>
      <c r="C33" s="110"/>
    </row>
    <row r="34" spans="1:3" ht="12.75">
      <c r="A34" s="167" t="s">
        <v>301</v>
      </c>
      <c r="B34" s="165">
        <f>B17-B14</f>
        <v>14196.010700924808</v>
      </c>
      <c r="C34" s="110"/>
    </row>
    <row r="35" spans="1:3" ht="12.75">
      <c r="A35" s="167"/>
      <c r="B35" s="165"/>
      <c r="C35" s="110"/>
    </row>
    <row r="36" spans="1:3" ht="12.75">
      <c r="A36" s="167" t="s">
        <v>136</v>
      </c>
      <c r="B36" s="123"/>
      <c r="C36" s="110"/>
    </row>
    <row r="37" spans="1:3" ht="12.75">
      <c r="A37" s="167" t="s">
        <v>304</v>
      </c>
      <c r="B37" s="165">
        <f>'Value-Added'!P24-'Value-Added'!P12</f>
        <v>14495.946443896697</v>
      </c>
      <c r="C37" s="110"/>
    </row>
    <row r="38" spans="1:3" ht="12.75">
      <c r="A38" s="167" t="s">
        <v>251</v>
      </c>
      <c r="B38" s="165">
        <f>B22-B9</f>
        <v>9878.476564378625</v>
      </c>
      <c r="C38" s="110"/>
    </row>
    <row r="39" spans="1:3" ht="12.75">
      <c r="A39" s="167" t="s">
        <v>301</v>
      </c>
      <c r="B39" s="165">
        <f>B23-B9</f>
        <v>10933.898251125613</v>
      </c>
      <c r="C39" s="110"/>
    </row>
    <row r="40" spans="1:3" ht="12.75">
      <c r="A40" s="167"/>
      <c r="B40" s="165"/>
      <c r="C40" s="110"/>
    </row>
    <row r="41" spans="1:3" ht="12.75">
      <c r="A41" s="91" t="s">
        <v>307</v>
      </c>
      <c r="B41" s="170">
        <f>B15-B10</f>
        <v>15391.874154740068</v>
      </c>
      <c r="C41" s="110"/>
    </row>
    <row r="42" spans="1:3" ht="12.75">
      <c r="A42" s="47"/>
      <c r="B42" s="172"/>
      <c r="C42" s="110"/>
    </row>
    <row r="43" spans="1:3" ht="12.75">
      <c r="A43" s="163"/>
      <c r="B43" s="110"/>
      <c r="C43" s="110"/>
    </row>
    <row r="44" spans="1:6" ht="12.75">
      <c r="A44" s="30" t="s">
        <v>175</v>
      </c>
      <c r="B44" s="31" t="s">
        <v>176</v>
      </c>
      <c r="C44" s="32" t="s">
        <v>177</v>
      </c>
      <c r="D44" s="32" t="s">
        <v>178</v>
      </c>
      <c r="E44" s="32" t="s">
        <v>179</v>
      </c>
      <c r="F44" s="31" t="s">
        <v>161</v>
      </c>
    </row>
    <row r="45" spans="1:6" ht="12.75">
      <c r="A45" s="167" t="s">
        <v>180</v>
      </c>
      <c r="B45" s="173">
        <f>SUM(B47:B50)</f>
        <v>37.3</v>
      </c>
      <c r="C45" s="124">
        <f>SUM(C47:C50)</f>
        <v>50</v>
      </c>
      <c r="D45" s="124">
        <f>SUM(D47:D50)</f>
        <v>32</v>
      </c>
      <c r="E45" s="124">
        <f>SUM(E47:E50)</f>
        <v>30</v>
      </c>
      <c r="F45" s="173">
        <f>SUM(B45:E45)</f>
        <v>149.3</v>
      </c>
    </row>
    <row r="46" spans="1:6" ht="12.75">
      <c r="A46" s="167"/>
      <c r="B46" s="173"/>
      <c r="C46" s="124"/>
      <c r="D46" s="124"/>
      <c r="E46" s="124"/>
      <c r="F46" s="173"/>
    </row>
    <row r="47" spans="1:6" ht="12.75">
      <c r="A47" s="167" t="s">
        <v>137</v>
      </c>
      <c r="B47" s="174">
        <f>2.3*(1+'Ag ERR'!$B$12)</f>
        <v>2.3</v>
      </c>
      <c r="C47" s="47">
        <f>0*(1+'Ag ERR'!B12)</f>
        <v>0</v>
      </c>
      <c r="D47" s="47">
        <f>8*(1+'Ag ERR'!$B$12)</f>
        <v>8</v>
      </c>
      <c r="E47" s="47">
        <f>10*(1+'Ag ERR'!$B$12)</f>
        <v>10</v>
      </c>
      <c r="F47" s="173">
        <f>SUM(B47:E47)</f>
        <v>20.3</v>
      </c>
    </row>
    <row r="48" spans="1:6" ht="12.75">
      <c r="A48" s="167" t="s">
        <v>139</v>
      </c>
      <c r="B48" s="175">
        <f>29*(1+'Ag ERR'!$B$12)</f>
        <v>29</v>
      </c>
      <c r="C48" s="176">
        <f>20*(1+'Ag ERR'!$B$12)</f>
        <v>20</v>
      </c>
      <c r="D48" s="176">
        <f>9*(1+'Ag ERR'!$B$12)</f>
        <v>9</v>
      </c>
      <c r="E48" s="176">
        <f>0*(1+'Ag ERR'!$B$12)</f>
        <v>0</v>
      </c>
      <c r="F48" s="173">
        <f>SUM(B48:E48)</f>
        <v>58</v>
      </c>
    </row>
    <row r="49" spans="1:6" ht="12.75">
      <c r="A49" s="167" t="s">
        <v>136</v>
      </c>
      <c r="B49" s="175">
        <f>6*(1+'Ag ERR'!$B$12)</f>
        <v>6</v>
      </c>
      <c r="C49" s="176">
        <f>10*(1+'Ag ERR'!$B$12)</f>
        <v>10</v>
      </c>
      <c r="D49" s="176">
        <f>15*(1+'Ag ERR'!$B$12)</f>
        <v>15</v>
      </c>
      <c r="E49" s="176">
        <f>20*(1+'Ag ERR'!$B$12)</f>
        <v>20</v>
      </c>
      <c r="F49" s="173">
        <f>SUM(B49:E49)</f>
        <v>51</v>
      </c>
    </row>
    <row r="50" spans="1:6" ht="12.75">
      <c r="A50" s="91" t="s">
        <v>138</v>
      </c>
      <c r="B50" s="177">
        <f>0*(1+'Ag ERR'!$B$12)</f>
        <v>0</v>
      </c>
      <c r="C50" s="178">
        <f>20*(1+'Ag ERR'!$B$12)</f>
        <v>20</v>
      </c>
      <c r="D50" s="178">
        <f>0*(1+'Ag ERR'!$B$12)</f>
        <v>0</v>
      </c>
      <c r="E50" s="178">
        <f>0*(1+'Ag ERR'!$B$12)</f>
        <v>0</v>
      </c>
      <c r="F50" s="179">
        <f>SUM(B50:E50)</f>
        <v>20</v>
      </c>
    </row>
    <row r="51" spans="1:3" ht="12.75">
      <c r="A51" s="163"/>
      <c r="B51" s="110"/>
      <c r="C51" s="110"/>
    </row>
    <row r="52" spans="1:7" ht="12.75">
      <c r="A52" s="47"/>
      <c r="B52" s="47"/>
      <c r="C52" s="47"/>
      <c r="D52" s="93"/>
      <c r="E52" s="93"/>
      <c r="F52" s="93"/>
      <c r="G52" s="93"/>
    </row>
    <row r="53" spans="1:7" ht="12.75">
      <c r="A53" s="93"/>
      <c r="B53" s="47"/>
      <c r="C53" s="47"/>
      <c r="D53" s="93"/>
      <c r="E53" s="93"/>
      <c r="F53" s="93"/>
      <c r="G53" s="93"/>
    </row>
    <row r="54" spans="1:7" ht="12.75">
      <c r="A54" s="163"/>
      <c r="B54" s="176"/>
      <c r="C54" s="176"/>
      <c r="D54" s="176"/>
      <c r="E54" s="176"/>
      <c r="F54" s="176"/>
      <c r="G54" s="93"/>
    </row>
    <row r="55" spans="1:7" ht="12.75">
      <c r="A55" s="163"/>
      <c r="B55" s="176"/>
      <c r="C55" s="176"/>
      <c r="D55" s="176"/>
      <c r="E55" s="176"/>
      <c r="F55" s="176"/>
      <c r="G55" s="93"/>
    </row>
    <row r="56" spans="1:7" ht="12.75">
      <c r="A56" s="47"/>
      <c r="B56" s="176"/>
      <c r="C56" s="176"/>
      <c r="D56" s="176"/>
      <c r="E56" s="176"/>
      <c r="F56" s="176"/>
      <c r="G56" s="93"/>
    </row>
    <row r="57" spans="1:7" ht="12.75">
      <c r="A57" s="47"/>
      <c r="B57" s="47"/>
      <c r="C57" s="47"/>
      <c r="D57" s="93"/>
      <c r="E57" s="93"/>
      <c r="F57" s="93"/>
      <c r="G57" s="93"/>
    </row>
    <row r="58" spans="1:7" ht="12.75">
      <c r="A58" s="47"/>
      <c r="B58" s="47"/>
      <c r="C58" s="47"/>
      <c r="D58" s="93"/>
      <c r="E58" s="93"/>
      <c r="F58" s="93"/>
      <c r="G58" s="93"/>
    </row>
    <row r="59" spans="1:7" ht="12.75">
      <c r="A59" s="93"/>
      <c r="B59" s="93"/>
      <c r="C59" s="93"/>
      <c r="D59" s="93"/>
      <c r="E59" s="93"/>
      <c r="F59" s="93"/>
      <c r="G59" s="93"/>
    </row>
  </sheetData>
  <mergeCells count="1">
    <mergeCell ref="A2:F2"/>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5" footer="0.5"/>
  <pageSetup fitToHeight="1" fitToWidth="1" horizontalDpi="600" verticalDpi="600" orientation="landscape" scale="73" r:id="rId4"/>
  <headerFooter alignWithMargins="0">
    <oddFooter>&amp;L&amp;G&amp;R&amp;P / &amp;N</oddFooter>
  </headerFooter>
  <ignoredErrors>
    <ignoredError sqref="E49 C50" formula="1"/>
  </ignoredErrors>
  <legacyDrawing r:id="rId2"/>
  <legacyDrawingHF r:id="rId3"/>
</worksheet>
</file>

<file path=xl/worksheets/sheet9.xml><?xml version="1.0" encoding="utf-8"?>
<worksheet xmlns="http://schemas.openxmlformats.org/spreadsheetml/2006/main" xmlns:r="http://schemas.openxmlformats.org/officeDocument/2006/relationships">
  <sheetPr codeName="Sheet7">
    <pageSetUpPr fitToPage="1"/>
  </sheetPr>
  <dimension ref="A1:V32"/>
  <sheetViews>
    <sheetView workbookViewId="0" topLeftCell="A2">
      <selection activeCell="G4" sqref="G4"/>
    </sheetView>
  </sheetViews>
  <sheetFormatPr defaultColWidth="9.140625" defaultRowHeight="12.75"/>
  <cols>
    <col min="1" max="1" width="32.7109375" style="3" customWidth="1"/>
    <col min="2" max="2" width="9.57421875" style="3" customWidth="1"/>
    <col min="3" max="3" width="10.7109375" style="3" customWidth="1"/>
    <col min="4" max="5" width="11.28125" style="3" bestFit="1" customWidth="1"/>
    <col min="6" max="16384" width="9.140625" style="3" customWidth="1"/>
  </cols>
  <sheetData>
    <row r="1" ht="20.25">
      <c r="A1" s="86" t="s">
        <v>318</v>
      </c>
    </row>
    <row r="3" ht="18">
      <c r="A3" s="88" t="s">
        <v>327</v>
      </c>
    </row>
    <row r="4" spans="1:6" ht="12.75">
      <c r="A4" s="371">
        <f>IF('ERR &amp; Sensitivity Analysis'!$I$10="N","Note: Current calculations are based on user input and are not the original MCC estimates.",IF('ERR &amp; Sensitivity Analysis'!$I$11="N","Note: Current calculations are based on user input and are not the original MCC estimates.",0))</f>
        <v>0</v>
      </c>
      <c r="B4" s="371"/>
      <c r="C4" s="371"/>
      <c r="D4" s="371"/>
      <c r="E4" s="371"/>
      <c r="F4" s="371"/>
    </row>
    <row r="5" ht="12.75">
      <c r="A5" s="3" t="s">
        <v>246</v>
      </c>
    </row>
    <row r="6" spans="1:3" ht="12.75">
      <c r="A6" s="3" t="s">
        <v>185</v>
      </c>
      <c r="B6" s="180">
        <f>'Ag ERR'!B10</f>
        <v>0.12</v>
      </c>
      <c r="C6" s="3" t="s">
        <v>186</v>
      </c>
    </row>
    <row r="7" spans="1:2" ht="12.75">
      <c r="A7" s="3" t="s">
        <v>245</v>
      </c>
      <c r="B7" s="97">
        <f>'ERR &amp; Sensitivity Analysis'!D15</f>
        <v>0.07</v>
      </c>
    </row>
    <row r="8" spans="1:3" ht="12.75">
      <c r="A8" s="3" t="s">
        <v>187</v>
      </c>
      <c r="B8" s="158">
        <f>'Program Costs'!G15</f>
        <v>500000</v>
      </c>
      <c r="C8" s="3" t="s">
        <v>188</v>
      </c>
    </row>
    <row r="9" spans="1:3" ht="12.75">
      <c r="A9" s="3" t="s">
        <v>189</v>
      </c>
      <c r="B9" s="181">
        <f>B8*(B6-B7)</f>
        <v>24999.999999999993</v>
      </c>
      <c r="C9" s="3" t="s">
        <v>224</v>
      </c>
    </row>
    <row r="10" ht="12.75">
      <c r="B10" s="181"/>
    </row>
    <row r="11" ht="12.75">
      <c r="B11" s="181"/>
    </row>
    <row r="12" spans="1:11" ht="12.75">
      <c r="A12" s="391" t="s">
        <v>296</v>
      </c>
      <c r="B12" s="392"/>
      <c r="C12" s="392"/>
      <c r="D12" s="392"/>
      <c r="E12" s="392"/>
      <c r="F12" s="392"/>
      <c r="G12" s="392"/>
      <c r="H12" s="392"/>
      <c r="I12" s="392"/>
      <c r="J12" s="392"/>
      <c r="K12" s="393"/>
    </row>
    <row r="13" spans="1:11" ht="12.75">
      <c r="A13" s="388" t="s">
        <v>294</v>
      </c>
      <c r="B13" s="389"/>
      <c r="C13" s="389"/>
      <c r="D13" s="389"/>
      <c r="E13" s="389"/>
      <c r="F13" s="389"/>
      <c r="G13" s="389"/>
      <c r="H13" s="389"/>
      <c r="I13" s="389"/>
      <c r="J13" s="389"/>
      <c r="K13" s="390"/>
    </row>
    <row r="14" spans="1:21" s="93" customFormat="1" ht="12.75">
      <c r="A14" s="18" t="s">
        <v>231</v>
      </c>
      <c r="B14" s="139" t="s">
        <v>61</v>
      </c>
      <c r="C14" s="182" t="s">
        <v>62</v>
      </c>
      <c r="D14" s="182" t="s">
        <v>63</v>
      </c>
      <c r="E14" s="182" t="s">
        <v>144</v>
      </c>
      <c r="F14" s="182" t="s">
        <v>145</v>
      </c>
      <c r="G14" s="182" t="s">
        <v>146</v>
      </c>
      <c r="H14" s="182" t="s">
        <v>147</v>
      </c>
      <c r="I14" s="182" t="s">
        <v>148</v>
      </c>
      <c r="J14" s="182" t="s">
        <v>149</v>
      </c>
      <c r="K14" s="182" t="s">
        <v>150</v>
      </c>
      <c r="L14" s="182" t="s">
        <v>151</v>
      </c>
      <c r="M14" s="182" t="s">
        <v>152</v>
      </c>
      <c r="N14" s="182" t="s">
        <v>153</v>
      </c>
      <c r="O14" s="182" t="s">
        <v>154</v>
      </c>
      <c r="P14" s="182" t="s">
        <v>155</v>
      </c>
      <c r="Q14" s="182" t="s">
        <v>156</v>
      </c>
      <c r="R14" s="182" t="s">
        <v>157</v>
      </c>
      <c r="S14" s="182" t="s">
        <v>158</v>
      </c>
      <c r="T14" s="182" t="s">
        <v>159</v>
      </c>
      <c r="U14" s="182" t="s">
        <v>160</v>
      </c>
    </row>
    <row r="15" spans="1:21" s="93" customFormat="1" ht="12.75">
      <c r="A15" s="183" t="s">
        <v>170</v>
      </c>
      <c r="B15" s="184"/>
      <c r="C15" s="185">
        <f>('Program Costs'!B24)*($B$6-$B$7)</f>
        <v>1116.0714285714284</v>
      </c>
      <c r="D15" s="185">
        <f>('Program Costs'!B24+'Program Costs'!C24)*($B$6-$B$7)</f>
        <v>7142.857142857142</v>
      </c>
      <c r="E15" s="185">
        <f>('Program Costs'!B24+'Program Costs'!C24+'Program Costs'!D24)*($B$6-$B$7)</f>
        <v>11160.714285714284</v>
      </c>
      <c r="F15" s="185">
        <f>E15</f>
        <v>11160.714285714284</v>
      </c>
      <c r="G15" s="185">
        <f aca="true" t="shared" si="0" ref="G15:U15">F15</f>
        <v>11160.714285714284</v>
      </c>
      <c r="H15" s="185">
        <f t="shared" si="0"/>
        <v>11160.714285714284</v>
      </c>
      <c r="I15" s="185">
        <f t="shared" si="0"/>
        <v>11160.714285714284</v>
      </c>
      <c r="J15" s="185">
        <f t="shared" si="0"/>
        <v>11160.714285714284</v>
      </c>
      <c r="K15" s="185">
        <f t="shared" si="0"/>
        <v>11160.714285714284</v>
      </c>
      <c r="L15" s="185">
        <f t="shared" si="0"/>
        <v>11160.714285714284</v>
      </c>
      <c r="M15" s="185">
        <f t="shared" si="0"/>
        <v>11160.714285714284</v>
      </c>
      <c r="N15" s="185">
        <f t="shared" si="0"/>
        <v>11160.714285714284</v>
      </c>
      <c r="O15" s="185">
        <f t="shared" si="0"/>
        <v>11160.714285714284</v>
      </c>
      <c r="P15" s="185">
        <f t="shared" si="0"/>
        <v>11160.714285714284</v>
      </c>
      <c r="Q15" s="185">
        <f t="shared" si="0"/>
        <v>11160.714285714284</v>
      </c>
      <c r="R15" s="185">
        <f t="shared" si="0"/>
        <v>11160.714285714284</v>
      </c>
      <c r="S15" s="185">
        <f t="shared" si="0"/>
        <v>11160.714285714284</v>
      </c>
      <c r="T15" s="185">
        <f t="shared" si="0"/>
        <v>11160.714285714284</v>
      </c>
      <c r="U15" s="186">
        <f t="shared" si="0"/>
        <v>11160.714285714284</v>
      </c>
    </row>
    <row r="16" spans="1:21" s="93" customFormat="1" ht="12.75">
      <c r="A16" s="49" t="s">
        <v>171</v>
      </c>
      <c r="B16" s="47"/>
      <c r="C16" s="122">
        <f>('Program Costs'!B33)*($B$6-$B$7)</f>
        <v>714.2857142857141</v>
      </c>
      <c r="D16" s="122">
        <f>('Program Costs'!B33+'Program Costs'!C33)*($B$6-$B$7)</f>
        <v>4571.428571428571</v>
      </c>
      <c r="E16" s="122">
        <f>('Program Costs'!B33+'Program Costs'!C33+'Program Costs'!D33)*($B$6-$B$7)</f>
        <v>7142.857142857142</v>
      </c>
      <c r="F16" s="122">
        <f aca="true" t="shared" si="1" ref="F16:U17">E16</f>
        <v>7142.857142857142</v>
      </c>
      <c r="G16" s="122">
        <f t="shared" si="1"/>
        <v>7142.857142857142</v>
      </c>
      <c r="H16" s="122">
        <f t="shared" si="1"/>
        <v>7142.857142857142</v>
      </c>
      <c r="I16" s="122">
        <f t="shared" si="1"/>
        <v>7142.857142857142</v>
      </c>
      <c r="J16" s="122">
        <f t="shared" si="1"/>
        <v>7142.857142857142</v>
      </c>
      <c r="K16" s="122">
        <f t="shared" si="1"/>
        <v>7142.857142857142</v>
      </c>
      <c r="L16" s="122">
        <f t="shared" si="1"/>
        <v>7142.857142857142</v>
      </c>
      <c r="M16" s="122">
        <f t="shared" si="1"/>
        <v>7142.857142857142</v>
      </c>
      <c r="N16" s="122">
        <f t="shared" si="1"/>
        <v>7142.857142857142</v>
      </c>
      <c r="O16" s="122">
        <f t="shared" si="1"/>
        <v>7142.857142857142</v>
      </c>
      <c r="P16" s="122">
        <f t="shared" si="1"/>
        <v>7142.857142857142</v>
      </c>
      <c r="Q16" s="122">
        <f t="shared" si="1"/>
        <v>7142.857142857142</v>
      </c>
      <c r="R16" s="122">
        <f t="shared" si="1"/>
        <v>7142.857142857142</v>
      </c>
      <c r="S16" s="122">
        <f t="shared" si="1"/>
        <v>7142.857142857142</v>
      </c>
      <c r="T16" s="122">
        <f t="shared" si="1"/>
        <v>7142.857142857142</v>
      </c>
      <c r="U16" s="165">
        <f t="shared" si="1"/>
        <v>7142.857142857142</v>
      </c>
    </row>
    <row r="17" spans="1:21" s="93" customFormat="1" ht="12.75">
      <c r="A17" s="49" t="s">
        <v>169</v>
      </c>
      <c r="B17" s="47"/>
      <c r="C17" s="122">
        <f>('Program Costs'!B41)*($B$6-$B$7)</f>
        <v>669.642857142857</v>
      </c>
      <c r="D17" s="122">
        <f>('Program Costs'!B41+'Program Costs'!C41)*($B$6-$B$7)</f>
        <v>4285.714285714284</v>
      </c>
      <c r="E17" s="122">
        <f>('Program Costs'!B41+'Program Costs'!C41+'Program Costs'!D41)*($B$6-$B$7)</f>
        <v>6696.42857142857</v>
      </c>
      <c r="F17" s="122">
        <f t="shared" si="1"/>
        <v>6696.42857142857</v>
      </c>
      <c r="G17" s="122">
        <f t="shared" si="1"/>
        <v>6696.42857142857</v>
      </c>
      <c r="H17" s="122">
        <f t="shared" si="1"/>
        <v>6696.42857142857</v>
      </c>
      <c r="I17" s="122">
        <f t="shared" si="1"/>
        <v>6696.42857142857</v>
      </c>
      <c r="J17" s="122">
        <f t="shared" si="1"/>
        <v>6696.42857142857</v>
      </c>
      <c r="K17" s="122">
        <f t="shared" si="1"/>
        <v>6696.42857142857</v>
      </c>
      <c r="L17" s="122">
        <f t="shared" si="1"/>
        <v>6696.42857142857</v>
      </c>
      <c r="M17" s="122">
        <f t="shared" si="1"/>
        <v>6696.42857142857</v>
      </c>
      <c r="N17" s="122">
        <f t="shared" si="1"/>
        <v>6696.42857142857</v>
      </c>
      <c r="O17" s="122">
        <f t="shared" si="1"/>
        <v>6696.42857142857</v>
      </c>
      <c r="P17" s="122">
        <f t="shared" si="1"/>
        <v>6696.42857142857</v>
      </c>
      <c r="Q17" s="122">
        <f t="shared" si="1"/>
        <v>6696.42857142857</v>
      </c>
      <c r="R17" s="122">
        <f t="shared" si="1"/>
        <v>6696.42857142857</v>
      </c>
      <c r="S17" s="122">
        <f t="shared" si="1"/>
        <v>6696.42857142857</v>
      </c>
      <c r="T17" s="122">
        <f t="shared" si="1"/>
        <v>6696.42857142857</v>
      </c>
      <c r="U17" s="165">
        <f t="shared" si="1"/>
        <v>6696.42857142857</v>
      </c>
    </row>
    <row r="18" spans="1:21" s="93" customFormat="1" ht="12.75">
      <c r="A18" s="49"/>
      <c r="B18" s="47"/>
      <c r="C18" s="47"/>
      <c r="D18" s="47"/>
      <c r="E18" s="47"/>
      <c r="F18" s="47"/>
      <c r="G18" s="47"/>
      <c r="H18" s="47"/>
      <c r="I18" s="47"/>
      <c r="J18" s="47"/>
      <c r="K18" s="47"/>
      <c r="L18" s="47"/>
      <c r="M18" s="47"/>
      <c r="N18" s="47"/>
      <c r="O18" s="47"/>
      <c r="P18" s="47"/>
      <c r="Q18" s="47"/>
      <c r="R18" s="47"/>
      <c r="S18" s="47"/>
      <c r="T18" s="47"/>
      <c r="U18" s="123"/>
    </row>
    <row r="19" spans="1:21" s="93" customFormat="1" ht="12.75">
      <c r="A19" s="91" t="s">
        <v>232</v>
      </c>
      <c r="B19" s="187"/>
      <c r="C19" s="135">
        <f>SUM(C15:C17)</f>
        <v>2499.9999999999995</v>
      </c>
      <c r="D19" s="135">
        <f aca="true" t="shared" si="2" ref="D19:U19">SUM(D15:D17)</f>
        <v>15999.999999999998</v>
      </c>
      <c r="E19" s="135">
        <f t="shared" si="2"/>
        <v>24999.999999999996</v>
      </c>
      <c r="F19" s="135">
        <f t="shared" si="2"/>
        <v>24999.999999999996</v>
      </c>
      <c r="G19" s="135">
        <f t="shared" si="2"/>
        <v>24999.999999999996</v>
      </c>
      <c r="H19" s="135">
        <f t="shared" si="2"/>
        <v>24999.999999999996</v>
      </c>
      <c r="I19" s="135">
        <f t="shared" si="2"/>
        <v>24999.999999999996</v>
      </c>
      <c r="J19" s="135">
        <f t="shared" si="2"/>
        <v>24999.999999999996</v>
      </c>
      <c r="K19" s="135">
        <f t="shared" si="2"/>
        <v>24999.999999999996</v>
      </c>
      <c r="L19" s="135">
        <f t="shared" si="2"/>
        <v>24999.999999999996</v>
      </c>
      <c r="M19" s="135">
        <f t="shared" si="2"/>
        <v>24999.999999999996</v>
      </c>
      <c r="N19" s="135">
        <f t="shared" si="2"/>
        <v>24999.999999999996</v>
      </c>
      <c r="O19" s="135">
        <f t="shared" si="2"/>
        <v>24999.999999999996</v>
      </c>
      <c r="P19" s="135">
        <f t="shared" si="2"/>
        <v>24999.999999999996</v>
      </c>
      <c r="Q19" s="135">
        <f t="shared" si="2"/>
        <v>24999.999999999996</v>
      </c>
      <c r="R19" s="135">
        <f t="shared" si="2"/>
        <v>24999.999999999996</v>
      </c>
      <c r="S19" s="135">
        <f t="shared" si="2"/>
        <v>24999.999999999996</v>
      </c>
      <c r="T19" s="135">
        <f t="shared" si="2"/>
        <v>24999.999999999996</v>
      </c>
      <c r="U19" s="170">
        <f t="shared" si="2"/>
        <v>24999.999999999996</v>
      </c>
    </row>
    <row r="20" s="93" customFormat="1" ht="12.75"/>
    <row r="21" s="93" customFormat="1" ht="12.75"/>
    <row r="22" s="93" customFormat="1" ht="12.75"/>
    <row r="23" s="93" customFormat="1" ht="12.75"/>
    <row r="24" spans="1:21" ht="12.75">
      <c r="A24" s="391" t="s">
        <v>295</v>
      </c>
      <c r="B24" s="392"/>
      <c r="C24" s="392"/>
      <c r="D24" s="392"/>
      <c r="E24" s="392"/>
      <c r="F24" s="392"/>
      <c r="G24" s="392"/>
      <c r="H24" s="392"/>
      <c r="I24" s="392"/>
      <c r="J24" s="392"/>
      <c r="K24" s="393"/>
      <c r="L24" s="93"/>
      <c r="M24" s="93"/>
      <c r="N24" s="93"/>
      <c r="O24" s="93"/>
      <c r="P24" s="93"/>
      <c r="Q24" s="93"/>
      <c r="R24" s="93"/>
      <c r="S24" s="93"/>
      <c r="T24" s="93"/>
      <c r="U24" s="93"/>
    </row>
    <row r="25" spans="1:11" ht="12.75">
      <c r="A25" s="388" t="s">
        <v>257</v>
      </c>
      <c r="B25" s="389"/>
      <c r="C25" s="389"/>
      <c r="D25" s="389"/>
      <c r="E25" s="389"/>
      <c r="F25" s="389"/>
      <c r="G25" s="389"/>
      <c r="H25" s="389"/>
      <c r="I25" s="389"/>
      <c r="J25" s="389"/>
      <c r="K25" s="390"/>
    </row>
    <row r="26" spans="1:22" ht="12.75">
      <c r="A26" s="18" t="s">
        <v>231</v>
      </c>
      <c r="B26" s="139" t="s">
        <v>61</v>
      </c>
      <c r="C26" s="182" t="s">
        <v>62</v>
      </c>
      <c r="D26" s="182" t="s">
        <v>63</v>
      </c>
      <c r="E26" s="182" t="s">
        <v>144</v>
      </c>
      <c r="F26" s="182" t="s">
        <v>145</v>
      </c>
      <c r="G26" s="182" t="s">
        <v>146</v>
      </c>
      <c r="H26" s="182" t="s">
        <v>147</v>
      </c>
      <c r="I26" s="182" t="s">
        <v>148</v>
      </c>
      <c r="J26" s="182" t="s">
        <v>149</v>
      </c>
      <c r="K26" s="182" t="s">
        <v>150</v>
      </c>
      <c r="L26" s="182" t="s">
        <v>151</v>
      </c>
      <c r="M26" s="182" t="s">
        <v>152</v>
      </c>
      <c r="N26" s="182" t="s">
        <v>153</v>
      </c>
      <c r="O26" s="182" t="s">
        <v>154</v>
      </c>
      <c r="P26" s="182" t="s">
        <v>155</v>
      </c>
      <c r="Q26" s="182" t="s">
        <v>156</v>
      </c>
      <c r="R26" s="182" t="s">
        <v>157</v>
      </c>
      <c r="S26" s="182" t="s">
        <v>158</v>
      </c>
      <c r="T26" s="182" t="s">
        <v>159</v>
      </c>
      <c r="U26" s="182" t="s">
        <v>160</v>
      </c>
      <c r="V26" s="118"/>
    </row>
    <row r="27" spans="1:22" ht="12.75">
      <c r="A27" s="89" t="s">
        <v>168</v>
      </c>
      <c r="B27" s="188"/>
      <c r="C27" s="189">
        <f>C32*'Program Costs'!$I$61</f>
        <v>799.9999999999999</v>
      </c>
      <c r="D27" s="189">
        <f>D32*'Program Costs'!$I$61</f>
        <v>7074.509803921566</v>
      </c>
      <c r="E27" s="189">
        <f>E32*'Program Costs'!$I$61</f>
        <v>10996.078431372547</v>
      </c>
      <c r="F27" s="189">
        <f>F32*'Program Costs'!$I$61</f>
        <v>10996.078431372547</v>
      </c>
      <c r="G27" s="189">
        <f>G32*'Program Costs'!$I$61</f>
        <v>10996.078431372547</v>
      </c>
      <c r="H27" s="189">
        <f>H32*'Program Costs'!$I$61</f>
        <v>10996.078431372547</v>
      </c>
      <c r="I27" s="189">
        <f>I32*'Program Costs'!$I$61</f>
        <v>10996.078431372547</v>
      </c>
      <c r="J27" s="189">
        <f>J32*'Program Costs'!$I$61</f>
        <v>10996.078431372547</v>
      </c>
      <c r="K27" s="189">
        <f>K32*'Program Costs'!$I$61</f>
        <v>10996.078431372547</v>
      </c>
      <c r="L27" s="189">
        <f>L32*'Program Costs'!$I$61</f>
        <v>10996.078431372547</v>
      </c>
      <c r="M27" s="189">
        <f>M32*'Program Costs'!$I$61</f>
        <v>10996.078431372547</v>
      </c>
      <c r="N27" s="189">
        <f>N32*'Program Costs'!$I$61</f>
        <v>10996.078431372547</v>
      </c>
      <c r="O27" s="189">
        <f>O32*'Program Costs'!$I$61</f>
        <v>10996.078431372547</v>
      </c>
      <c r="P27" s="189">
        <f>P32*'Program Costs'!$I$61</f>
        <v>10996.078431372547</v>
      </c>
      <c r="Q27" s="189">
        <f>Q32*'Program Costs'!$I$61</f>
        <v>10996.078431372547</v>
      </c>
      <c r="R27" s="189">
        <f>R32*'Program Costs'!$I$61</f>
        <v>10996.078431372547</v>
      </c>
      <c r="S27" s="189">
        <f>S32*'Program Costs'!$I$61</f>
        <v>10996.078431372547</v>
      </c>
      <c r="T27" s="189">
        <f>T32*'Program Costs'!$I$61</f>
        <v>10996.078431372547</v>
      </c>
      <c r="U27" s="190">
        <f>U32*'Program Costs'!$I$61</f>
        <v>10996.078431372547</v>
      </c>
      <c r="V27" s="118"/>
    </row>
    <row r="28" spans="1:22" ht="12.75">
      <c r="A28" s="90" t="s">
        <v>170</v>
      </c>
      <c r="B28" s="110"/>
      <c r="C28" s="191">
        <f>C32*'Program Costs'!$I$63</f>
        <v>524.9999999999999</v>
      </c>
      <c r="D28" s="191">
        <f>D32*'Program Costs'!$I$63</f>
        <v>4642.647058823528</v>
      </c>
      <c r="E28" s="191">
        <f>E32*'Program Costs'!$I$63</f>
        <v>7216.176470588233</v>
      </c>
      <c r="F28" s="191">
        <f>F32*'Program Costs'!$I$63</f>
        <v>7216.176470588233</v>
      </c>
      <c r="G28" s="191">
        <f>G32*'Program Costs'!$I$63</f>
        <v>7216.176470588233</v>
      </c>
      <c r="H28" s="191">
        <f>H32*'Program Costs'!$I$63</f>
        <v>7216.176470588233</v>
      </c>
      <c r="I28" s="191">
        <f>I32*'Program Costs'!$I$63</f>
        <v>7216.176470588233</v>
      </c>
      <c r="J28" s="191">
        <f>J32*'Program Costs'!$I$63</f>
        <v>7216.176470588233</v>
      </c>
      <c r="K28" s="191">
        <f>K32*'Program Costs'!$I$63</f>
        <v>7216.176470588233</v>
      </c>
      <c r="L28" s="191">
        <f>L32*'Program Costs'!$I$63</f>
        <v>7216.176470588233</v>
      </c>
      <c r="M28" s="191">
        <f>M32*'Program Costs'!$I$63</f>
        <v>7216.176470588233</v>
      </c>
      <c r="N28" s="191">
        <f>N32*'Program Costs'!$I$63</f>
        <v>7216.176470588233</v>
      </c>
      <c r="O28" s="191">
        <f>O32*'Program Costs'!$I$63</f>
        <v>7216.176470588233</v>
      </c>
      <c r="P28" s="191">
        <f>P32*'Program Costs'!$I$63</f>
        <v>7216.176470588233</v>
      </c>
      <c r="Q28" s="191">
        <f>Q32*'Program Costs'!$I$63</f>
        <v>7216.176470588233</v>
      </c>
      <c r="R28" s="191">
        <f>R32*'Program Costs'!$I$63</f>
        <v>7216.176470588233</v>
      </c>
      <c r="S28" s="191">
        <f>S32*'Program Costs'!$I$63</f>
        <v>7216.176470588233</v>
      </c>
      <c r="T28" s="191">
        <f>T32*'Program Costs'!$I$63</f>
        <v>7216.176470588233</v>
      </c>
      <c r="U28" s="192">
        <f>U32*'Program Costs'!$I$63</f>
        <v>7216.176470588233</v>
      </c>
      <c r="V28" s="118"/>
    </row>
    <row r="29" spans="1:22" ht="12.75">
      <c r="A29" s="90" t="s">
        <v>171</v>
      </c>
      <c r="B29" s="110"/>
      <c r="C29" s="191">
        <f>C32*'Program Costs'!$I$65</f>
        <v>524.9999999999999</v>
      </c>
      <c r="D29" s="191">
        <f>D32*'Program Costs'!$I$65</f>
        <v>4642.647058823528</v>
      </c>
      <c r="E29" s="191">
        <f>E32*'Program Costs'!$I$65</f>
        <v>7216.176470588233</v>
      </c>
      <c r="F29" s="191">
        <f>F32*'Program Costs'!$I$65</f>
        <v>7216.176470588233</v>
      </c>
      <c r="G29" s="191">
        <f>G32*'Program Costs'!$I$65</f>
        <v>7216.176470588233</v>
      </c>
      <c r="H29" s="191">
        <f>H32*'Program Costs'!$I$65</f>
        <v>7216.176470588233</v>
      </c>
      <c r="I29" s="191">
        <f>I32*'Program Costs'!$I$65</f>
        <v>7216.176470588233</v>
      </c>
      <c r="J29" s="191">
        <f>J32*'Program Costs'!$I$65</f>
        <v>7216.176470588233</v>
      </c>
      <c r="K29" s="191">
        <f>K32*'Program Costs'!$I$65</f>
        <v>7216.176470588233</v>
      </c>
      <c r="L29" s="191">
        <f>L32*'Program Costs'!$I$65</f>
        <v>7216.176470588233</v>
      </c>
      <c r="M29" s="191">
        <f>M32*'Program Costs'!$I$65</f>
        <v>7216.176470588233</v>
      </c>
      <c r="N29" s="191">
        <f>N32*'Program Costs'!$I$65</f>
        <v>7216.176470588233</v>
      </c>
      <c r="O29" s="191">
        <f>O32*'Program Costs'!$I$65</f>
        <v>7216.176470588233</v>
      </c>
      <c r="P29" s="191">
        <f>P32*'Program Costs'!$I$65</f>
        <v>7216.176470588233</v>
      </c>
      <c r="Q29" s="191">
        <f>Q32*'Program Costs'!$I$65</f>
        <v>7216.176470588233</v>
      </c>
      <c r="R29" s="191">
        <f>R32*'Program Costs'!$I$65</f>
        <v>7216.176470588233</v>
      </c>
      <c r="S29" s="191">
        <f>S32*'Program Costs'!$I$65</f>
        <v>7216.176470588233</v>
      </c>
      <c r="T29" s="191">
        <f>T32*'Program Costs'!$I$65</f>
        <v>7216.176470588233</v>
      </c>
      <c r="U29" s="192">
        <f>U32*'Program Costs'!$I$65</f>
        <v>7216.176470588233</v>
      </c>
      <c r="V29" s="118"/>
    </row>
    <row r="30" spans="1:21" ht="12.75">
      <c r="A30" s="90" t="s">
        <v>169</v>
      </c>
      <c r="B30" s="110"/>
      <c r="C30" s="191">
        <f>C32*'Program Costs'!$I$66</f>
        <v>649.9999999999999</v>
      </c>
      <c r="D30" s="191">
        <f>D32*'Program Costs'!$I$66</f>
        <v>5748.039215686273</v>
      </c>
      <c r="E30" s="191">
        <f>E32*'Program Costs'!$I$66</f>
        <v>8934.313725490194</v>
      </c>
      <c r="F30" s="191">
        <f>F32*'Program Costs'!$I$66</f>
        <v>8934.313725490194</v>
      </c>
      <c r="G30" s="191">
        <f>G32*'Program Costs'!$I$66</f>
        <v>8934.313725490194</v>
      </c>
      <c r="H30" s="191">
        <f>H32*'Program Costs'!$I$66</f>
        <v>8934.313725490194</v>
      </c>
      <c r="I30" s="191">
        <f>I32*'Program Costs'!$I$66</f>
        <v>8934.313725490194</v>
      </c>
      <c r="J30" s="191">
        <f>J32*'Program Costs'!$I$66</f>
        <v>8934.313725490194</v>
      </c>
      <c r="K30" s="191">
        <f>K32*'Program Costs'!$I$66</f>
        <v>8934.313725490194</v>
      </c>
      <c r="L30" s="191">
        <f>L32*'Program Costs'!$I$66</f>
        <v>8934.313725490194</v>
      </c>
      <c r="M30" s="191">
        <f>M32*'Program Costs'!$I$66</f>
        <v>8934.313725490194</v>
      </c>
      <c r="N30" s="191">
        <f>N32*'Program Costs'!$I$66</f>
        <v>8934.313725490194</v>
      </c>
      <c r="O30" s="191">
        <f>O32*'Program Costs'!$I$66</f>
        <v>8934.313725490194</v>
      </c>
      <c r="P30" s="191">
        <f>P32*'Program Costs'!$I$66</f>
        <v>8934.313725490194</v>
      </c>
      <c r="Q30" s="191">
        <f>Q32*'Program Costs'!$I$66</f>
        <v>8934.313725490194</v>
      </c>
      <c r="R30" s="191">
        <f>R32*'Program Costs'!$I$66</f>
        <v>8934.313725490194</v>
      </c>
      <c r="S30" s="191">
        <f>S32*'Program Costs'!$I$66</f>
        <v>8934.313725490194</v>
      </c>
      <c r="T30" s="191">
        <f>T32*'Program Costs'!$I$66</f>
        <v>8934.313725490194</v>
      </c>
      <c r="U30" s="192">
        <f>U32*'Program Costs'!$I$66</f>
        <v>8934.313725490194</v>
      </c>
    </row>
    <row r="31" spans="1:22" ht="12.75">
      <c r="A31" s="90"/>
      <c r="B31" s="110"/>
      <c r="C31" s="110"/>
      <c r="D31" s="110"/>
      <c r="E31" s="110"/>
      <c r="F31" s="110"/>
      <c r="G31" s="110"/>
      <c r="H31" s="110"/>
      <c r="I31" s="110"/>
      <c r="J31" s="110"/>
      <c r="K31" s="110"/>
      <c r="L31" s="110"/>
      <c r="M31" s="110"/>
      <c r="N31" s="110"/>
      <c r="O31" s="110"/>
      <c r="P31" s="110"/>
      <c r="Q31" s="110"/>
      <c r="R31" s="110"/>
      <c r="S31" s="110"/>
      <c r="T31" s="110"/>
      <c r="U31" s="155"/>
      <c r="V31" s="118"/>
    </row>
    <row r="32" spans="1:21" ht="12.75">
      <c r="A32" s="145" t="s">
        <v>232</v>
      </c>
      <c r="B32" s="146"/>
      <c r="C32" s="193">
        <f>'Program Costs'!B57*($B$6-$B$7)</f>
        <v>2499.9999999999995</v>
      </c>
      <c r="D32" s="193">
        <f>('Program Costs'!B57+'Program Costs'!C57)*($B$6-$B$7)</f>
        <v>22107.843137254895</v>
      </c>
      <c r="E32" s="193">
        <f>('Program Costs'!B57+'Program Costs'!C57+'Program Costs'!D57)*($B$6-$B$7)</f>
        <v>34362.74509803921</v>
      </c>
      <c r="F32" s="194">
        <f>E32</f>
        <v>34362.74509803921</v>
      </c>
      <c r="G32" s="194">
        <f aca="true" t="shared" si="3" ref="G32:U32">F32</f>
        <v>34362.74509803921</v>
      </c>
      <c r="H32" s="194">
        <f t="shared" si="3"/>
        <v>34362.74509803921</v>
      </c>
      <c r="I32" s="194">
        <f t="shared" si="3"/>
        <v>34362.74509803921</v>
      </c>
      <c r="J32" s="194">
        <f t="shared" si="3"/>
        <v>34362.74509803921</v>
      </c>
      <c r="K32" s="194">
        <f t="shared" si="3"/>
        <v>34362.74509803921</v>
      </c>
      <c r="L32" s="194">
        <f t="shared" si="3"/>
        <v>34362.74509803921</v>
      </c>
      <c r="M32" s="194">
        <f t="shared" si="3"/>
        <v>34362.74509803921</v>
      </c>
      <c r="N32" s="194">
        <f t="shared" si="3"/>
        <v>34362.74509803921</v>
      </c>
      <c r="O32" s="194">
        <f t="shared" si="3"/>
        <v>34362.74509803921</v>
      </c>
      <c r="P32" s="194">
        <f t="shared" si="3"/>
        <v>34362.74509803921</v>
      </c>
      <c r="Q32" s="194">
        <f t="shared" si="3"/>
        <v>34362.74509803921</v>
      </c>
      <c r="R32" s="194">
        <f t="shared" si="3"/>
        <v>34362.74509803921</v>
      </c>
      <c r="S32" s="194">
        <f t="shared" si="3"/>
        <v>34362.74509803921</v>
      </c>
      <c r="T32" s="194">
        <f t="shared" si="3"/>
        <v>34362.74509803921</v>
      </c>
      <c r="U32" s="195">
        <f t="shared" si="3"/>
        <v>34362.74509803921</v>
      </c>
    </row>
  </sheetData>
  <mergeCells count="5">
    <mergeCell ref="A25:K25"/>
    <mergeCell ref="A4:F4"/>
    <mergeCell ref="A12:K12"/>
    <mergeCell ref="A13:K13"/>
    <mergeCell ref="A24:K24"/>
  </mergeCells>
  <conditionalFormatting sqref="A4">
    <cfRule type="cellIs" priority="1" dxfId="0" operator="equal" stopIfTrue="1">
      <formula>0</formula>
    </cfRule>
    <cfRule type="cellIs" priority="2" dxfId="1" operator="notEqual" stopIfTrue="1">
      <formula>0</formula>
    </cfRule>
  </conditionalFormatting>
  <printOptions/>
  <pageMargins left="0.75" right="0.75" top="1" bottom="1" header="0.5" footer="0.5"/>
  <pageSetup fitToHeight="1" fitToWidth="1" horizontalDpi="600" verticalDpi="600" orientation="landscape" scale="55" r:id="rId2"/>
  <headerFooter alignWithMargins="0">
    <oddFooter>&amp;L&amp;G&amp;R&amp;P /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MCC</dc:creator>
  <cp:keywords/>
  <dc:description/>
  <cp:lastModifiedBy>defuser</cp:lastModifiedBy>
  <cp:lastPrinted>2007-12-18T15:19:51Z</cp:lastPrinted>
  <dcterms:created xsi:type="dcterms:W3CDTF">2005-04-17T18:30:47Z</dcterms:created>
  <dcterms:modified xsi:type="dcterms:W3CDTF">2008-02-21T21:41:01Z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